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6" activeTab="17"/>
  </bookViews>
  <sheets>
    <sheet name="СК1-17" sheetId="1" r:id="rId1"/>
    <sheet name="СК1-18" sheetId="2" r:id="rId2"/>
    <sheet name="СК1-19" sheetId="3" r:id="rId3"/>
    <sheet name="СК2-17" sheetId="4" r:id="rId4"/>
    <sheet name="СК2-18" sheetId="5" r:id="rId5"/>
    <sheet name="СК2-19" sheetId="6" r:id="rId6"/>
    <sheet name="КПП1-17" sheetId="7" r:id="rId7"/>
    <sheet name="КПП1-18" sheetId="8" r:id="rId8"/>
    <sheet name="КПП1-19" sheetId="9" r:id="rId9"/>
    <sheet name="КПП2-17" sheetId="10" r:id="rId10"/>
    <sheet name="КПП2-18" sheetId="11" r:id="rId11"/>
    <sheet name="КПП2-19" sheetId="12" r:id="rId12"/>
    <sheet name="ЧРП1-17" sheetId="13" r:id="rId13"/>
    <sheet name="ЧРП1-18" sheetId="14" r:id="rId14"/>
    <sheet name="ЧРП1-19" sheetId="15" r:id="rId15"/>
    <sheet name="ЧРП2-17" sheetId="16" r:id="rId16"/>
    <sheet name="ЧРП2-18" sheetId="17" r:id="rId17"/>
    <sheet name="ЧРП2-19" sheetId="18" r:id="rId18"/>
  </sheets>
  <definedNames>
    <definedName name="_xlnm.Print_Area" localSheetId="6">'КПП1-17'!$A$1:$DD$30</definedName>
    <definedName name="_xlnm.Print_Area" localSheetId="7">'КПП1-18'!$A$1:$DD$30</definedName>
    <definedName name="_xlnm.Print_Area" localSheetId="8">'КПП1-19'!$A$1:$DD$30</definedName>
    <definedName name="_xlnm.Print_Area" localSheetId="9">'КПП2-17'!$A$1:$FK$17</definedName>
    <definedName name="_xlnm.Print_Area" localSheetId="10">'КПП2-18'!$A$1:$FK$17</definedName>
    <definedName name="_xlnm.Print_Area" localSheetId="11">'КПП2-19'!$A$1:$FK$17</definedName>
    <definedName name="_xlnm.Print_Area" localSheetId="0">'СК1-17'!$A$1:$DD$30</definedName>
    <definedName name="_xlnm.Print_Area" localSheetId="1">'СК1-18'!$A$1:$DD$30</definedName>
    <definedName name="_xlnm.Print_Area" localSheetId="2">'СК1-19'!$A$1:$DD$30</definedName>
    <definedName name="_xlnm.Print_Area" localSheetId="3">'СК2-17'!$A$1:$FK$17</definedName>
    <definedName name="_xlnm.Print_Area" localSheetId="4">'СК2-18'!$A$1:$FK$17</definedName>
    <definedName name="_xlnm.Print_Area" localSheetId="5">'СК2-19'!$A$1:$FK$17</definedName>
    <definedName name="_xlnm.Print_Area" localSheetId="12">'ЧРП1-17'!$A$1:$DD$30</definedName>
    <definedName name="_xlnm.Print_Area" localSheetId="13">'ЧРП1-18'!$A$1:$DD$30</definedName>
    <definedName name="_xlnm.Print_Area" localSheetId="14">'ЧРП1-19'!$A$1:$DD$30</definedName>
    <definedName name="_xlnm.Print_Area" localSheetId="15">'ЧРП2-17'!$A$1:$FK$17</definedName>
    <definedName name="_xlnm.Print_Area" localSheetId="16">'ЧРП2-18'!$A$1:$FK$17</definedName>
    <definedName name="_xlnm.Print_Area" localSheetId="17">'ЧРП2-19'!$A$1:$FK$17</definedName>
  </definedNames>
  <calcPr fullCalcOnLoad="1"/>
</workbook>
</file>

<file path=xl/sharedStrings.xml><?xml version="1.0" encoding="utf-8"?>
<sst xmlns="http://schemas.openxmlformats.org/spreadsheetml/2006/main" count="468" uniqueCount="56">
  <si>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</si>
  <si>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</si>
  <si>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</si>
  <si>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</si>
  <si>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</si>
  <si>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</si>
  <si>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</si>
  <si>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</si>
  <si>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</si>
  <si>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</si>
  <si>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</si>
  <si>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</si>
  <si>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</si>
  <si>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</si>
  <si>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</si>
  <si>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</si>
  <si>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</si>
  <si>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Услуги буксиров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</si>
  <si>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</si>
  <si>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Хранение грузов</t>
    </r>
  </si>
  <si>
    <r>
      <t>1.8.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</si>
  <si>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</si>
  <si>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</si>
  <si>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</si>
  <si>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</si>
  <si>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</si>
  <si>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</si>
  <si>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</si>
  <si>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</si>
  <si>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</si>
  <si>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</si>
  <si>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</si>
  <si>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</si>
  <si>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</si>
  <si>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</si>
  <si>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</si>
  <si>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</si>
  <si>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</si>
  <si>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</si>
  <si>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</si>
  <si>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</si>
  <si>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</si>
  <si>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</si>
  <si>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</si>
  <si>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</si>
  <si>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</si>
  <si>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</si>
  <si>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</si>
  <si>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</si>
  <si>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АО "Судоходная компания "Татфлот"</t>
  </si>
  <si>
    <t>Филиал АО СК "Татфлот" КПП</t>
  </si>
  <si>
    <t>2017</t>
  </si>
  <si>
    <t>2018</t>
  </si>
  <si>
    <t>Филиал АО СК "Татфлот" ЧРП</t>
  </si>
  <si>
    <t>АО "Судоходная компания "Татфлот" (головная организация)</t>
  </si>
  <si>
    <t>2019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</si>
</sst>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3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U10" sqref="U10:CJ10"/>
    </sheetView>
  </sheetViews>
  <sheetFormatPr defaultColWidth="0.875" defaultRowHeight="12.75"/>
  <cols>
    <col min="1" max="87" width="0.875" style="5" customWidth="1"/>
    <col min="88" max="88" width="2.125" style="5" customWidth="1"/>
    <col min="89" max="108" width="0.875" style="5" customWidth="1"/>
    <col min="109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51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54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>
        <v>10496.9</v>
      </c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>
        <v>6288.4</v>
      </c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4208.5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v>502.5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v>9226.5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-8724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10999.4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15514.9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-4515.5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HM9" sqref="HM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0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v>31375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v>9991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v>51795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>
        <v>17530</v>
      </c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v>3070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v>20610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v>4266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>
        <v>5304</v>
      </c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>
        <v>110</v>
      </c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AH13+BG13+BQ13+CN13+CY13+DI13+DU13+EE13+EP13</f>
        <v>144051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31375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9991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51795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17530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3070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20610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4266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5304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110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144051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0">
      <selection activeCell="AH13" sqref="AH13:AQ13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0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f>30235*1.03</f>
        <v>31142.05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f>9361*1.03</f>
        <v>9641.83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f>41928*1.03</f>
        <v>43185.840000000004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>
        <f>17389*1.03</f>
        <v>17910.670000000002</v>
      </c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f>4564*1.03</f>
        <v>4700.92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f>18602*1.03</f>
        <v>19160.06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f>4272*1.03</f>
        <v>4400.16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>
        <f>5117*1.03</f>
        <v>5270.51</v>
      </c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>
        <f>180*1.02</f>
        <v>183.6</v>
      </c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AH13+BG13+BQ13+CN13+CY13+DI13+DU13+EE13</f>
        <v>135412.04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31142.05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9641.83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43185.840000000004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17910.670000000002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4700.92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19160.06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4400.16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5270.51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183.6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135412.04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AH13" sqref="AH13:AQ13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0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f>31375*1.1</f>
        <v>34512.5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f>9991*1.1</f>
        <v>10990.1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f>51795*1.1</f>
        <v>56974.50000000001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>
        <f>17530*1.1</f>
        <v>19283</v>
      </c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f>3070*1.1</f>
        <v>3377.0000000000005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f>20610*1.1</f>
        <v>22671.000000000004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f>4266*1.1</f>
        <v>4692.6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>
        <f>5304*1.1</f>
        <v>5834.400000000001</v>
      </c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>
        <f>110*1.1</f>
        <v>121.00000000000001</v>
      </c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AH13+BG13+BQ13+CN13+CY13+DI13+DU13+EE13+EP13</f>
        <v>158456.1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34512.5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10990.1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56974.50000000001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19283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3377.0000000000005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22671.000000000004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4692.6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5834.400000000001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121.00000000000001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158456.1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BT20" sqref="BT20:CH20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51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53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>
        <v>4679</v>
      </c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-4679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v>325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v>1879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-1554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325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6558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-6233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6">
      <selection activeCell="BT25" sqref="BT25:CH25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52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53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>
        <f>4011*1.03</f>
        <v>4131.33</v>
      </c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-4131.33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f>318*1.2</f>
        <v>381.59999999999997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f>4555*1.05</f>
        <v>4782.75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-4401.15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381.59999999999997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8914.08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-8532.48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0">
      <selection activeCell="BT21" sqref="BT21:CH21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55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53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>
        <f>4679*1.01</f>
        <v>4725.79</v>
      </c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-4725.79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f>325*1.1</f>
        <v>357.50000000000006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f>1879*1.1</f>
        <v>2066.9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-1709.4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357.50000000000006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6792.6900000000005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-6435.1900000000005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CN13" sqref="CN13:CX13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>
        <v>1273</v>
      </c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>
        <v>395</v>
      </c>
      <c r="BH9" s="56"/>
      <c r="BI9" s="56"/>
      <c r="BJ9" s="56"/>
      <c r="BK9" s="56"/>
      <c r="BL9" s="56"/>
      <c r="BM9" s="56"/>
      <c r="BN9" s="56"/>
      <c r="BO9" s="56"/>
      <c r="BP9" s="56"/>
      <c r="BQ9" s="56">
        <v>1679</v>
      </c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>
        <v>41</v>
      </c>
      <c r="CZ9" s="56"/>
      <c r="DA9" s="56"/>
      <c r="DB9" s="56"/>
      <c r="DC9" s="56"/>
      <c r="DD9" s="56"/>
      <c r="DE9" s="56"/>
      <c r="DF9" s="56"/>
      <c r="DG9" s="56"/>
      <c r="DH9" s="56"/>
      <c r="DI9" s="56">
        <v>1291</v>
      </c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4679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v>752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v>232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v>279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f>7*1.03</f>
        <v>7.21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v>395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v>214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AH13+BG13+BQ13+CN13+CY13+DI13+DU13+EE13</f>
        <v>1879.21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2025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627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1958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0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7.21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1686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214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0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0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6558.21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DU14" sqref="DU14:ED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>
        <f>1203*1.03</f>
        <v>1239.0900000000001</v>
      </c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>
        <f>348*1.03</f>
        <v>358.44</v>
      </c>
      <c r="BH9" s="56"/>
      <c r="BI9" s="56"/>
      <c r="BJ9" s="56"/>
      <c r="BK9" s="56"/>
      <c r="BL9" s="56"/>
      <c r="BM9" s="56"/>
      <c r="BN9" s="56"/>
      <c r="BO9" s="56"/>
      <c r="BP9" s="56"/>
      <c r="BQ9" s="56">
        <f>1588*1.03</f>
        <v>1635.64</v>
      </c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>
        <f>75*1.03</f>
        <v>77.25</v>
      </c>
      <c r="CZ9" s="56"/>
      <c r="DA9" s="56"/>
      <c r="DB9" s="56"/>
      <c r="DC9" s="56"/>
      <c r="DD9" s="56"/>
      <c r="DE9" s="56"/>
      <c r="DF9" s="56"/>
      <c r="DG9" s="56"/>
      <c r="DH9" s="56"/>
      <c r="DI9" s="56">
        <f>764*1.03</f>
        <v>786.9200000000001</v>
      </c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>
        <f>33*1.03</f>
        <v>33.99</v>
      </c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4131.33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f>924*1.05</f>
        <v>970.2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f>202*1.05</f>
        <v>212.10000000000002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f>254*1.05</f>
        <v>266.7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>
        <f>2139*1.05</f>
        <v>2245.9500000000003</v>
      </c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f>7*1.05</f>
        <v>7.3500000000000005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f>818*1.05</f>
        <v>858.9000000000001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f>211*1.05</f>
        <v>221.55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AH13+BG13+BQ13+CN13+CY13+DI13+DU13+EE13</f>
        <v>4782.750000000001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2209.29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570.54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1902.3400000000001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2245.9500000000003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7.3500000000000005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1645.8200000000002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255.54000000000002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0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0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8914.080000000002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K16"/>
  <sheetViews>
    <sheetView tabSelected="1" view="pageBreakPreview" zoomScaleSheetLayoutView="100" zoomScalePageLayoutView="0" workbookViewId="0" topLeftCell="A1">
      <selection activeCell="DU14" sqref="DU14:ED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>
        <f>1273*1.01</f>
        <v>1285.73</v>
      </c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>
        <f>395*1.01</f>
        <v>398.95</v>
      </c>
      <c r="BH9" s="56"/>
      <c r="BI9" s="56"/>
      <c r="BJ9" s="56"/>
      <c r="BK9" s="56"/>
      <c r="BL9" s="56"/>
      <c r="BM9" s="56"/>
      <c r="BN9" s="56"/>
      <c r="BO9" s="56"/>
      <c r="BP9" s="56"/>
      <c r="BQ9" s="56">
        <f>1679*1.01</f>
        <v>1695.79</v>
      </c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>
        <f>41*1.01</f>
        <v>41.410000000000004</v>
      </c>
      <c r="CZ9" s="56"/>
      <c r="DA9" s="56"/>
      <c r="DB9" s="56"/>
      <c r="DC9" s="56"/>
      <c r="DD9" s="56"/>
      <c r="DE9" s="56"/>
      <c r="DF9" s="56"/>
      <c r="DG9" s="56"/>
      <c r="DH9" s="56"/>
      <c r="DI9" s="56">
        <f>1291*1.01</f>
        <v>1303.91</v>
      </c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4725.79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f>752*1.1</f>
        <v>827.2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f>232*1.1</f>
        <v>255.20000000000002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f>279*1.1</f>
        <v>306.90000000000003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f>7*1.1</f>
        <v>7.700000000000001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f>395*1.1</f>
        <v>434.50000000000006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f>214*1.1</f>
        <v>235.4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AH13+BG13+BQ13+CN13+CY13+DI13+DU13+EE13</f>
        <v>2066.9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2112.9300000000003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654.15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2002.69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0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7.700000000000001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1738.41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235.4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0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0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6792.6900000000005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7">
      <selection activeCell="BE21" sqref="BE21:BS21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52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49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>
        <f>14329*1.1</f>
        <v>15761.900000000001</v>
      </c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>
        <f>5145*1.02</f>
        <v>5247.900000000001</v>
      </c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10514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f>471*1.3</f>
        <v>612.3000000000001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f>6402*1.05</f>
        <v>6722.1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-6109.8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16374.2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11970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4404.2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3">
      <selection activeCell="BT26" sqref="BT26:CH26"/>
    </sheetView>
  </sheetViews>
  <sheetFormatPr defaultColWidth="0.875" defaultRowHeight="12.75"/>
  <cols>
    <col min="1" max="87" width="0.875" style="5" customWidth="1"/>
    <col min="88" max="88" width="2.125" style="5" customWidth="1"/>
    <col min="89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55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54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>
        <f>10497*1.1</f>
        <v>11546.7</v>
      </c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>
        <f>6288*1.1</f>
        <v>6916.8</v>
      </c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4629.900000000001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f>503*1.2</f>
        <v>603.6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f>9227*0.98</f>
        <v>9042.46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-8438.859999999999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12150.300000000001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15959.259999999998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-3808.959999999998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T20:CH20"/>
    <mergeCell ref="BT21:CH21"/>
    <mergeCell ref="BT22:CH22"/>
    <mergeCell ref="BT24:CH24"/>
    <mergeCell ref="BT25:CH25"/>
    <mergeCell ref="BT23:CH23"/>
    <mergeCell ref="B21:BC21"/>
    <mergeCell ref="B27:BC27"/>
    <mergeCell ref="B23:BC23"/>
    <mergeCell ref="B24:BC24"/>
    <mergeCell ref="B22:BC22"/>
    <mergeCell ref="BE22:BS22"/>
    <mergeCell ref="BE23:BS23"/>
    <mergeCell ref="BE24:BS24"/>
    <mergeCell ref="BE21:BS21"/>
    <mergeCell ref="B18:BC18"/>
    <mergeCell ref="B19:BC19"/>
    <mergeCell ref="BT16:CH16"/>
    <mergeCell ref="BT17:CH17"/>
    <mergeCell ref="BT18:CH18"/>
    <mergeCell ref="BT19:CH19"/>
    <mergeCell ref="BE17:BS17"/>
    <mergeCell ref="U9:CJ9"/>
    <mergeCell ref="U10:CJ10"/>
    <mergeCell ref="BE20:BS20"/>
    <mergeCell ref="CI18:DD18"/>
    <mergeCell ref="CI19:DD19"/>
    <mergeCell ref="CI20:DD20"/>
    <mergeCell ref="BE18:BS18"/>
    <mergeCell ref="BE19:BS19"/>
    <mergeCell ref="B20:BC20"/>
    <mergeCell ref="A13:DD1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CI21:DD21"/>
    <mergeCell ref="CI22:DD22"/>
    <mergeCell ref="CI23:DD23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T26:CH26"/>
    <mergeCell ref="BT27:CH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>
        <f>1131.4+97</f>
        <v>1228.4</v>
      </c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>
        <f>348.3+28.6</f>
        <v>376.90000000000003</v>
      </c>
      <c r="BH9" s="56"/>
      <c r="BI9" s="56"/>
      <c r="BJ9" s="56"/>
      <c r="BK9" s="56"/>
      <c r="BL9" s="56"/>
      <c r="BM9" s="56"/>
      <c r="BN9" s="56"/>
      <c r="BO9" s="56"/>
      <c r="BP9" s="56"/>
      <c r="BQ9" s="56">
        <f>95.7+8.8</f>
        <v>104.5</v>
      </c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>
        <f>115.6+100</f>
        <v>215.6</v>
      </c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>
        <f>4097.7+265-3825.6</f>
        <v>537.0999999999999</v>
      </c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>
        <v>3825.6</v>
      </c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6288.1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v>2754.8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v>695.7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v>3273.7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v>137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v>1987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f>379-48</f>
        <v>331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>
        <v>48</v>
      </c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AH13+BG13+BQ13+CY13+DI13+DU13+EE13+EP13</f>
        <v>9227.2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3983.2000000000003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1072.6000000000001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3378.2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0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137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2202.6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868.0999999999999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0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3873.6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15515.300000000001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GG8" sqref="GG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>
        <f>1108*91.14%*1.02</f>
        <v>1030.027824</v>
      </c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>
        <f>327*91.14%*1.02</f>
        <v>303.988356</v>
      </c>
      <c r="BH9" s="56"/>
      <c r="BI9" s="56"/>
      <c r="BJ9" s="56"/>
      <c r="BK9" s="56"/>
      <c r="BL9" s="56"/>
      <c r="BM9" s="56"/>
      <c r="BN9" s="56"/>
      <c r="BO9" s="56"/>
      <c r="BP9" s="56"/>
      <c r="BQ9" s="56">
        <f>101*91.14%*1.02</f>
        <v>93.89242800000001</v>
      </c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>
        <v>1250</v>
      </c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>
        <f>3853*91.14%*1.02-1250</f>
        <v>2331.856684</v>
      </c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>
        <f>257*91.14%*1.02</f>
        <v>238.91439599999998</v>
      </c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5248.679688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f>2441*97.42%*1.05</f>
        <v>2496.9233100000006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f>632*97.42%*1.05</f>
        <v>646.4791200000001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f>2959*97.42%*1.05</f>
        <v>3026.7906900000007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f>137*97.42%*1.05</f>
        <v>140.13867000000002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f>148*97.42%*1.05</f>
        <v>151.39068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f>246*97.42%+8*1.05</f>
        <v>248.05320000000003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>
        <v>12</v>
      </c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AH13+BG13+BQ13+CY13+DI13+DU13+EE13</f>
        <v>6721.775670000003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3526.951134000001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950.467476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3120.683118000001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1250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140.13867000000002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2483.247364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486.967596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12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0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11970.455358000003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4">
      <selection activeCell="BQ14" sqref="BQ14:CA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5" t="s">
        <v>35</v>
      </c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7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47" t="s">
        <v>36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7" t="s">
        <v>43</v>
      </c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7" s="2" customFormat="1" ht="27" customHeight="1">
      <c r="A6" s="3"/>
      <c r="B6" s="53" t="s">
        <v>24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2" customFormat="1" ht="39" customHeight="1">
      <c r="A7" s="3"/>
      <c r="B7" s="53" t="s">
        <v>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s="2" customFormat="1" ht="39" customHeight="1">
      <c r="A8" s="3"/>
      <c r="B8" s="53" t="s">
        <v>26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4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s="2" customFormat="1" ht="27" customHeight="1">
      <c r="A9" s="3"/>
      <c r="B9" s="53" t="s">
        <v>27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6">
        <f>1228*1.1</f>
        <v>1350.8000000000002</v>
      </c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>
        <f>377*1.1</f>
        <v>414.70000000000005</v>
      </c>
      <c r="BH9" s="56"/>
      <c r="BI9" s="56"/>
      <c r="BJ9" s="56"/>
      <c r="BK9" s="56"/>
      <c r="BL9" s="56"/>
      <c r="BM9" s="56"/>
      <c r="BN9" s="56"/>
      <c r="BO9" s="56"/>
      <c r="BP9" s="56"/>
      <c r="BQ9" s="56">
        <f>105*1.1</f>
        <v>115.50000000000001</v>
      </c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>
        <f>216*1.1</f>
        <v>237.60000000000002</v>
      </c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>
        <f>537*1.1</f>
        <v>590.7</v>
      </c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>
        <f>3826*1.1-1</f>
        <v>4207.6</v>
      </c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>
        <f>AH9+BG9+BQ9+CB9+CN9+CY9+DI9+DU9+EE9+EP9</f>
        <v>6916.900000000001</v>
      </c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s="2" customFormat="1" ht="14.25" customHeight="1">
      <c r="A10" s="3"/>
      <c r="B10" s="53" t="s">
        <v>28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s="2" customFormat="1" ht="14.25" customHeight="1">
      <c r="A11" s="3"/>
      <c r="B11" s="53" t="s">
        <v>29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s="2" customFormat="1" ht="14.25" customHeight="1">
      <c r="A12" s="3"/>
      <c r="B12" s="53" t="s">
        <v>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s="2" customFormat="1" ht="14.25" customHeight="1">
      <c r="A13" s="3"/>
      <c r="B13" s="53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6">
        <f>2755*0.98</f>
        <v>2699.9</v>
      </c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>
        <f>696*0.98</f>
        <v>682.08</v>
      </c>
      <c r="BH13" s="56"/>
      <c r="BI13" s="56"/>
      <c r="BJ13" s="56"/>
      <c r="BK13" s="56"/>
      <c r="BL13" s="56"/>
      <c r="BM13" s="56"/>
      <c r="BN13" s="56"/>
      <c r="BO13" s="56"/>
      <c r="BP13" s="56"/>
      <c r="BQ13" s="56">
        <f>3274*0.98-1</f>
        <v>3207.52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>
        <f>137*0.98</f>
        <v>134.26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>
        <f>1987*0.98</f>
        <v>1947.26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>
        <f>331*0.98</f>
        <v>324.38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>
        <f>48*0.98</f>
        <v>47.04</v>
      </c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>
        <f>AH13+BG13+BQ13+CB13+CN13+CY13+DI13+DU13+EE13+EP13</f>
        <v>9042.44</v>
      </c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2" customFormat="1" ht="156.75" customHeight="1">
      <c r="A14" s="3"/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4"/>
      <c r="AH14" s="56">
        <f>AH9+AH13</f>
        <v>4050.7000000000003</v>
      </c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>
        <f>BG9+BG13</f>
        <v>1096.7800000000002</v>
      </c>
      <c r="BH14" s="56"/>
      <c r="BI14" s="56"/>
      <c r="BJ14" s="56"/>
      <c r="BK14" s="56"/>
      <c r="BL14" s="56"/>
      <c r="BM14" s="56"/>
      <c r="BN14" s="56"/>
      <c r="BO14" s="56"/>
      <c r="BP14" s="56"/>
      <c r="BQ14" s="56">
        <f>BQ9+BQ13</f>
        <v>3323.02</v>
      </c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>
        <f>CN9+CN13</f>
        <v>0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>
        <f>CY13</f>
        <v>134.26</v>
      </c>
      <c r="CZ14" s="56"/>
      <c r="DA14" s="56"/>
      <c r="DB14" s="56"/>
      <c r="DC14" s="56"/>
      <c r="DD14" s="56"/>
      <c r="DE14" s="56"/>
      <c r="DF14" s="56"/>
      <c r="DG14" s="56"/>
      <c r="DH14" s="56"/>
      <c r="DI14" s="56">
        <f>DI9+DI13</f>
        <v>2184.86</v>
      </c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>
        <f>DU9+DU13</f>
        <v>915.08</v>
      </c>
      <c r="DV14" s="56"/>
      <c r="DW14" s="56"/>
      <c r="DX14" s="56"/>
      <c r="DY14" s="56"/>
      <c r="DZ14" s="56"/>
      <c r="EA14" s="56"/>
      <c r="EB14" s="56"/>
      <c r="EC14" s="56"/>
      <c r="ED14" s="56"/>
      <c r="EE14" s="56">
        <f>EE9+EE13</f>
        <v>0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>
        <f>EP9+EP13</f>
        <v>4254.64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>
        <f>FA9+FA13</f>
        <v>15959.34</v>
      </c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B10:AG10"/>
    <mergeCell ref="AH6:AQ6"/>
    <mergeCell ref="AH7:AQ7"/>
    <mergeCell ref="AH8:AQ8"/>
    <mergeCell ref="AH9:AQ9"/>
    <mergeCell ref="AH10:AQ10"/>
    <mergeCell ref="B9:AG9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A3:AG4"/>
    <mergeCell ref="AR5:BF5"/>
    <mergeCell ref="BG5:BP5"/>
    <mergeCell ref="AR6:BF6"/>
    <mergeCell ref="BG6:BP6"/>
    <mergeCell ref="AR7:BF7"/>
    <mergeCell ref="BG7:BP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7:ED7"/>
    <mergeCell ref="EE7:EO7"/>
    <mergeCell ref="EP7:EZ7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3">
      <selection activeCell="BT26" sqref="BT26:CH26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51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50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0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v>25192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v>144051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-118859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25192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144051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-118859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6">
      <selection activeCell="BE25" sqref="BE25:BS25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52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50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0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f>25448*1.2</f>
        <v>30537.6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f>131468*1.03</f>
        <v>135412.04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-104874.44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30537.6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135412.04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-104874.44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3">
      <selection activeCell="BT25" sqref="BT25:CH25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8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s="8" customFormat="1" ht="15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8" customFormat="1" ht="15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23" t="s">
        <v>55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4" t="s">
        <v>50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0" t="s">
        <v>9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 t="s">
        <v>10</v>
      </c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1" t="s">
        <v>11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2.25" customHeight="1">
      <c r="A17" s="13"/>
      <c r="B17" s="34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14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4" customFormat="1" ht="33" customHeight="1">
      <c r="A18" s="15"/>
      <c r="B18" s="34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16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1:108" s="4" customFormat="1" ht="33" customHeight="1">
      <c r="A19" s="15"/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6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</row>
    <row r="20" spans="1:108" s="4" customFormat="1" ht="33" customHeight="1">
      <c r="A20" s="15"/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16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4" customFormat="1" ht="18" customHeight="1">
      <c r="A21" s="15"/>
      <c r="B21" s="34" t="s">
        <v>16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6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>
        <f>BE21-BT21</f>
        <v>0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</row>
    <row r="22" spans="1:108" s="4" customFormat="1" ht="18" customHeight="1">
      <c r="A22" s="15"/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16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</row>
    <row r="23" spans="1:108" s="4" customFormat="1" ht="18" customHeight="1">
      <c r="A23" s="15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6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</row>
    <row r="24" spans="1:108" s="4" customFormat="1" ht="18" customHeight="1">
      <c r="A24" s="15"/>
      <c r="B24" s="34" t="s">
        <v>19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6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</row>
    <row r="25" spans="1:108" s="4" customFormat="1" ht="18" customHeight="1">
      <c r="A25" s="15"/>
      <c r="B25" s="34" t="s">
        <v>20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6"/>
      <c r="BE25" s="35">
        <f>25192*1.1</f>
        <v>27711.2</v>
      </c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>
        <f>144051*1.1</f>
        <v>158456.1</v>
      </c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>
        <f>BE25-BT25</f>
        <v>-130744.90000000001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</row>
    <row r="26" spans="1:108" s="4" customFormat="1" ht="18" customHeight="1">
      <c r="A26" s="15"/>
      <c r="B26" s="34" t="s">
        <v>21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6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s="4" customFormat="1" ht="18" customHeight="1">
      <c r="A27" s="15"/>
      <c r="B27" s="36" t="s">
        <v>22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6"/>
      <c r="BE27" s="35">
        <f>BE21+BE25</f>
        <v>27711.2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>
        <f>BT21+BT25</f>
        <v>158456.1</v>
      </c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>
        <f>CI21+CI25</f>
        <v>-130744.90000000001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</row>
    <row r="28" ht="3.75" customHeight="1"/>
    <row r="29" spans="1:108" s="19" customFormat="1" ht="46.5" customHeight="1">
      <c r="A29" s="37" t="s">
        <v>47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2018-04-16T10:53:38Z</cp:lastPrinted>
  <dcterms:created xsi:type="dcterms:W3CDTF">2011-01-11T10:25:48Z</dcterms:created>
  <dcterms:modified xsi:type="dcterms:W3CDTF">2018-04-16T12:57:31Z</dcterms:modified>
  <cp:category/>
  <cp:version/>
  <cp:contentType/>
  <cp:contentStatus/>
</cp:coreProperties>
</file>