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К1-16" sheetId="1" r:id="rId1"/>
    <sheet name="СК1-17" sheetId="2" r:id="rId2"/>
    <sheet name="СК1-18" sheetId="3" r:id="rId3"/>
    <sheet name="СК2-16" sheetId="4" r:id="rId4"/>
    <sheet name="СК2-17" sheetId="5" r:id="rId5"/>
    <sheet name="СК2-18" sheetId="6" r:id="rId6"/>
    <sheet name="КПП1-16 " sheetId="7" r:id="rId7"/>
    <sheet name="КПП1-17" sheetId="8" r:id="rId8"/>
    <sheet name="КПП1-18" sheetId="9" r:id="rId9"/>
    <sheet name="КПП2-16" sheetId="10" r:id="rId10"/>
    <sheet name="КПП2-17" sheetId="11" r:id="rId11"/>
    <sheet name="КПП2-18" sheetId="12" r:id="rId12"/>
    <sheet name="ЧРП1-16  " sheetId="13" r:id="rId13"/>
    <sheet name="ЧРП1-17" sheetId="14" r:id="rId14"/>
    <sheet name="ЧРП1-18" sheetId="15" r:id="rId15"/>
    <sheet name="ЧРП2-16 " sheetId="16" r:id="rId16"/>
    <sheet name="ЧРП2-17" sheetId="17" r:id="rId17"/>
    <sheet name="ЧРП2-18" sheetId="18" r:id="rId18"/>
  </sheets>
  <definedNames>
    <definedName name="_xlnm.Print_Area" localSheetId="6">'КПП1-16 '!$A$1:$DD$30</definedName>
    <definedName name="_xlnm.Print_Area" localSheetId="7">'КПП1-17'!$A$1:$DD$30</definedName>
    <definedName name="_xlnm.Print_Area" localSheetId="8">'КПП1-18'!$A$1:$DD$30</definedName>
    <definedName name="_xlnm.Print_Area" localSheetId="9">'КПП2-16'!$A$1:$FK$17</definedName>
    <definedName name="_xlnm.Print_Area" localSheetId="10">'КПП2-17'!$A$1:$FK$17</definedName>
    <definedName name="_xlnm.Print_Area" localSheetId="11">'КПП2-18'!$A$1:$FK$17</definedName>
    <definedName name="_xlnm.Print_Area" localSheetId="0">'СК1-16'!$A$1:$DD$30</definedName>
    <definedName name="_xlnm.Print_Area" localSheetId="1">'СК1-17'!$A$1:$DD$30</definedName>
    <definedName name="_xlnm.Print_Area" localSheetId="2">'СК1-18'!$A$1:$DD$30</definedName>
    <definedName name="_xlnm.Print_Area" localSheetId="3">'СК2-16'!$A$1:$FK$17</definedName>
    <definedName name="_xlnm.Print_Area" localSheetId="4">'СК2-17'!$A$1:$FK$17</definedName>
    <definedName name="_xlnm.Print_Area" localSheetId="5">'СК2-18'!$A$1:$FK$17</definedName>
    <definedName name="_xlnm.Print_Area" localSheetId="12">'ЧРП1-16  '!$A$1:$DD$30</definedName>
    <definedName name="_xlnm.Print_Area" localSheetId="13">'ЧРП1-17'!$A$1:$DD$30</definedName>
    <definedName name="_xlnm.Print_Area" localSheetId="14">'ЧРП1-18'!$A$1:$DD$30</definedName>
    <definedName name="_xlnm.Print_Area" localSheetId="15">'ЧРП2-16 '!$A$1:$FK$17</definedName>
    <definedName name="_xlnm.Print_Area" localSheetId="16">'ЧРП2-17'!$A$1:$FK$17</definedName>
    <definedName name="_xlnm.Print_Area" localSheetId="17">'ЧРП2-18'!$A$1:$FK$17</definedName>
  </definedNames>
  <calcPr fullCalcOnLoad="1"/>
</workbook>
</file>

<file path=xl/sharedStrings.xml><?xml version="1.0" encoding="utf-8"?>
<sst xmlns="http://schemas.openxmlformats.org/spreadsheetml/2006/main" count="468" uniqueCount="56">
  <si>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</si>
  <si>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</si>
  <si>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</si>
  <si>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</si>
  <si>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</si>
  <si>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</si>
  <si>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</si>
  <si>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</si>
  <si>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</si>
  <si>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</si>
  <si>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</si>
  <si>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</si>
  <si>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</si>
  <si>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</si>
  <si>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</si>
  <si>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</si>
  <si>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</si>
  <si>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Услуги буксиров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</si>
  <si>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</si>
  <si>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Хранение грузов</t>
    </r>
  </si>
  <si>
    <r>
      <t>1.8.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</si>
  <si>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</si>
  <si>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</si>
  <si>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</si>
  <si>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</si>
  <si>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</si>
  <si>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</si>
  <si>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</si>
  <si>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</si>
  <si>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</si>
  <si>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</si>
  <si>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</si>
  <si>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</si>
  <si>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</si>
  <si>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</si>
  <si>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</si>
  <si>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</si>
  <si>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</si>
  <si>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</si>
  <si>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</si>
  <si>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</si>
  <si>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</si>
  <si>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</si>
  <si>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</si>
  <si>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</si>
  <si>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</si>
  <si>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</si>
  <si>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</si>
  <si>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</si>
  <si>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2016</t>
  </si>
  <si>
    <t>АО "Судоходная компания "Татфлот"</t>
  </si>
  <si>
    <t>Филиал АО СК "Татфлот" КПП</t>
  </si>
  <si>
    <t>2017</t>
  </si>
  <si>
    <t>2018</t>
  </si>
  <si>
    <t>Филиал АО СК "Татфлот" ЧРП</t>
  </si>
  <si>
    <t>АО "Судоходная компания "Татфлот" (головная организация)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</si>
</sst>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4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9"/>
  <sheetViews>
    <sheetView tabSelected="1" view="pageBreakPreview" zoomScaleSheetLayoutView="100" zoomScalePageLayoutView="0" workbookViewId="0" topLeftCell="A1">
      <selection activeCell="U10" sqref="U10:CJ10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1:108" s="8" customFormat="1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</row>
    <row r="5" spans="1:108" s="8" customFormat="1" ht="15.7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8" customFormat="1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4" t="s">
        <v>49</v>
      </c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55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6" t="s">
        <v>6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7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3" t="s">
        <v>9</v>
      </c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 t="s">
        <v>10</v>
      </c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0" t="s">
        <v>11</v>
      </c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ht="122.25" customHeight="1">
      <c r="A17" s="13"/>
      <c r="B17" s="25" t="s">
        <v>12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4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</row>
    <row r="18" spans="1:108" s="4" customFormat="1" ht="33" customHeight="1">
      <c r="A18" s="15"/>
      <c r="B18" s="25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</row>
    <row r="19" spans="1:108" s="4" customFormat="1" ht="33" customHeight="1">
      <c r="A19" s="15"/>
      <c r="B19" s="25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</row>
    <row r="20" spans="1:108" s="4" customFormat="1" ht="33" customHeight="1">
      <c r="A20" s="15"/>
      <c r="B20" s="25" t="s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</row>
    <row r="21" spans="1:108" s="4" customFormat="1" ht="18" customHeight="1">
      <c r="A21" s="15"/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2">
        <v>14329</v>
      </c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>
        <v>5145</v>
      </c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>
        <f>BE21-BT21</f>
        <v>9184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18" customHeight="1">
      <c r="A22" s="15"/>
      <c r="B22" s="25" t="s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5" t="s">
        <v>18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5" t="s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4" customFormat="1" ht="18" customHeight="1">
      <c r="A25" s="15"/>
      <c r="B25" s="25" t="s">
        <v>20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16"/>
      <c r="BE25" s="22">
        <v>471</v>
      </c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>
        <v>6402</v>
      </c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>
        <f>BE25-BT25</f>
        <v>-5931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4" customFormat="1" ht="18" customHeight="1">
      <c r="A26" s="15"/>
      <c r="B26" s="25" t="s">
        <v>21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16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4" customFormat="1" ht="18" customHeight="1">
      <c r="A27" s="15"/>
      <c r="B27" s="38" t="s">
        <v>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16"/>
      <c r="BE27" s="22">
        <f>BE21+BE25</f>
        <v>14800</v>
      </c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>
        <f>BT21+BT25</f>
        <v>11547</v>
      </c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>
        <f>CI21+CI25</f>
        <v>3253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ht="3.75" customHeight="1"/>
    <row r="29" spans="1:108" s="19" customFormat="1" ht="46.5" customHeight="1">
      <c r="A29" s="23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ht="3" customHeight="1"/>
  </sheetData>
  <sheetProtection/>
  <mergeCells count="57">
    <mergeCell ref="BT20:CH20"/>
    <mergeCell ref="BT21:CH21"/>
    <mergeCell ref="BT22:CH22"/>
    <mergeCell ref="BT24:CH24"/>
    <mergeCell ref="BT25:CH25"/>
    <mergeCell ref="BT23:CH23"/>
    <mergeCell ref="B21:BC21"/>
    <mergeCell ref="B27:BC27"/>
    <mergeCell ref="B23:BC23"/>
    <mergeCell ref="B24:BC24"/>
    <mergeCell ref="B22:BC22"/>
    <mergeCell ref="BE22:BS22"/>
    <mergeCell ref="BE23:BS23"/>
    <mergeCell ref="BE24:BS24"/>
    <mergeCell ref="BE21:BS21"/>
    <mergeCell ref="B18:BC18"/>
    <mergeCell ref="B19:BC19"/>
    <mergeCell ref="BT16:CH16"/>
    <mergeCell ref="BT17:CH17"/>
    <mergeCell ref="BT18:CH18"/>
    <mergeCell ref="BT19:CH19"/>
    <mergeCell ref="BE17:BS17"/>
    <mergeCell ref="U9:CJ9"/>
    <mergeCell ref="U10:CJ10"/>
    <mergeCell ref="BE20:BS20"/>
    <mergeCell ref="CI18:DD18"/>
    <mergeCell ref="CI19:DD19"/>
    <mergeCell ref="CI20:DD20"/>
    <mergeCell ref="BE18:BS18"/>
    <mergeCell ref="BE19:BS19"/>
    <mergeCell ref="B20:BC20"/>
    <mergeCell ref="A13:DD1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CI21:DD21"/>
    <mergeCell ref="CI22:DD22"/>
    <mergeCell ref="CI23:DD23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T26:CH26"/>
    <mergeCell ref="BT27:CH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CN9" sqref="CN9:CX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7" t="s">
        <v>44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8" t="s">
        <v>35</v>
      </c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50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50" t="s">
        <v>36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0" t="s">
        <v>43</v>
      </c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53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47">
        <v>2</v>
      </c>
      <c r="AI5" s="47"/>
      <c r="AJ5" s="47"/>
      <c r="AK5" s="47"/>
      <c r="AL5" s="47"/>
      <c r="AM5" s="47"/>
      <c r="AN5" s="47"/>
      <c r="AO5" s="47"/>
      <c r="AP5" s="47"/>
      <c r="AQ5" s="47"/>
      <c r="AR5" s="47">
        <v>3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>
        <v>4</v>
      </c>
      <c r="BH5" s="47"/>
      <c r="BI5" s="47"/>
      <c r="BJ5" s="47"/>
      <c r="BK5" s="47"/>
      <c r="BL5" s="47"/>
      <c r="BM5" s="47"/>
      <c r="BN5" s="47"/>
      <c r="BO5" s="47"/>
      <c r="BP5" s="47"/>
      <c r="BQ5" s="47">
        <v>5</v>
      </c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>
        <v>6</v>
      </c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>
        <v>7</v>
      </c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>
        <v>8</v>
      </c>
      <c r="CZ5" s="47"/>
      <c r="DA5" s="47"/>
      <c r="DB5" s="47"/>
      <c r="DC5" s="47"/>
      <c r="DD5" s="47"/>
      <c r="DE5" s="47"/>
      <c r="DF5" s="47"/>
      <c r="DG5" s="47"/>
      <c r="DH5" s="47"/>
      <c r="DI5" s="47">
        <v>9</v>
      </c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>
        <v>10</v>
      </c>
      <c r="DV5" s="47"/>
      <c r="DW5" s="47"/>
      <c r="DX5" s="47"/>
      <c r="DY5" s="47"/>
      <c r="DZ5" s="47"/>
      <c r="EA5" s="47"/>
      <c r="EB5" s="47"/>
      <c r="EC5" s="47"/>
      <c r="ED5" s="47"/>
      <c r="EE5" s="47">
        <v>11</v>
      </c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>
        <v>12</v>
      </c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>
        <v>13</v>
      </c>
      <c r="FB5" s="47"/>
      <c r="FC5" s="47"/>
      <c r="FD5" s="47"/>
      <c r="FE5" s="47"/>
      <c r="FF5" s="47"/>
      <c r="FG5" s="47"/>
      <c r="FH5" s="47"/>
      <c r="FI5" s="47"/>
      <c r="FJ5" s="47"/>
      <c r="FK5" s="47"/>
    </row>
    <row r="6" spans="1:167" s="2" customFormat="1" ht="27" customHeight="1">
      <c r="A6" s="3"/>
      <c r="B6" s="51" t="s">
        <v>24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</row>
    <row r="7" spans="1:167" s="2" customFormat="1" ht="39" customHeight="1">
      <c r="A7" s="3"/>
      <c r="B7" s="51" t="s">
        <v>25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</row>
    <row r="8" spans="1:167" s="2" customFormat="1" ht="39" customHeight="1">
      <c r="A8" s="3"/>
      <c r="B8" s="51" t="s">
        <v>26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</row>
    <row r="9" spans="1:167" s="2" customFormat="1" ht="27" customHeight="1">
      <c r="A9" s="3"/>
      <c r="B9" s="51" t="s">
        <v>27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>
        <f>AH9+BG9+BQ9+CB9+CN9+CY9+DI9+DU9+EE9+EP9</f>
        <v>0</v>
      </c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7" s="2" customFormat="1" ht="14.25" customHeight="1">
      <c r="A10" s="3"/>
      <c r="B10" s="51" t="s">
        <v>28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pans="1:167" s="2" customFormat="1" ht="14.25" customHeight="1">
      <c r="A11" s="3"/>
      <c r="B11" s="51" t="s">
        <v>29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</row>
    <row r="12" spans="1:167" s="2" customFormat="1" ht="14.25" customHeight="1">
      <c r="A12" s="3"/>
      <c r="B12" s="51" t="s">
        <v>30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</row>
    <row r="13" spans="1:167" s="2" customFormat="1" ht="14.25" customHeight="1">
      <c r="A13" s="3"/>
      <c r="B13" s="51" t="s">
        <v>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45">
        <f>30235</f>
        <v>30235</v>
      </c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>
        <f>9361</f>
        <v>9361</v>
      </c>
      <c r="BH13" s="45"/>
      <c r="BI13" s="45"/>
      <c r="BJ13" s="45"/>
      <c r="BK13" s="45"/>
      <c r="BL13" s="45"/>
      <c r="BM13" s="45"/>
      <c r="BN13" s="45"/>
      <c r="BO13" s="45"/>
      <c r="BP13" s="45"/>
      <c r="BQ13" s="45">
        <f>41928</f>
        <v>41928</v>
      </c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>
        <f>17389</f>
        <v>17389</v>
      </c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>
        <f>4564</f>
        <v>4564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>
        <f>18602</f>
        <v>18602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>
        <f>4272</f>
        <v>4272</v>
      </c>
      <c r="DV13" s="45"/>
      <c r="DW13" s="45"/>
      <c r="DX13" s="45"/>
      <c r="DY13" s="45"/>
      <c r="DZ13" s="45"/>
      <c r="EA13" s="45"/>
      <c r="EB13" s="45"/>
      <c r="EC13" s="45"/>
      <c r="ED13" s="45"/>
      <c r="EE13" s="45">
        <f>5117</f>
        <v>5117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>
        <f>180</f>
        <v>180</v>
      </c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>
        <f>AH13+BG13+BQ13+CN13+CY13+DI13+DU13+EE13</f>
        <v>131468</v>
      </c>
      <c r="FB13" s="45"/>
      <c r="FC13" s="45"/>
      <c r="FD13" s="45"/>
      <c r="FE13" s="45"/>
      <c r="FF13" s="45"/>
      <c r="FG13" s="45"/>
      <c r="FH13" s="45"/>
      <c r="FI13" s="45"/>
      <c r="FJ13" s="45"/>
      <c r="FK13" s="45"/>
    </row>
    <row r="14" spans="1:167" s="2" customFormat="1" ht="156.75" customHeight="1">
      <c r="A14" s="3"/>
      <c r="B14" s="51" t="s">
        <v>45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45">
        <f>AH9+AH13</f>
        <v>30235</v>
      </c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>
        <f>BG9+BG13</f>
        <v>9361</v>
      </c>
      <c r="BH14" s="45"/>
      <c r="BI14" s="45"/>
      <c r="BJ14" s="45"/>
      <c r="BK14" s="45"/>
      <c r="BL14" s="45"/>
      <c r="BM14" s="45"/>
      <c r="BN14" s="45"/>
      <c r="BO14" s="45"/>
      <c r="BP14" s="45"/>
      <c r="BQ14" s="45">
        <f>BQ9+BQ13</f>
        <v>41928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>
        <f>CN9+CN13</f>
        <v>17389</v>
      </c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>
        <f>CY13</f>
        <v>4564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>
        <f>DI9+DI13</f>
        <v>18602</v>
      </c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>
        <f>DU9+DU13</f>
        <v>4272</v>
      </c>
      <c r="DV14" s="45"/>
      <c r="DW14" s="45"/>
      <c r="DX14" s="45"/>
      <c r="DY14" s="45"/>
      <c r="DZ14" s="45"/>
      <c r="EA14" s="45"/>
      <c r="EB14" s="45"/>
      <c r="EC14" s="45"/>
      <c r="ED14" s="45"/>
      <c r="EE14" s="45">
        <f>EE9+EE13</f>
        <v>5117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>
        <f>EP9+EP13</f>
        <v>180</v>
      </c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>
        <f>FA9+FA13</f>
        <v>131468</v>
      </c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23" t="s">
        <v>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EP14" sqref="EP14:EZ14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7" t="s">
        <v>44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8" t="s">
        <v>35</v>
      </c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50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50" t="s">
        <v>36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0" t="s">
        <v>43</v>
      </c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53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47">
        <v>2</v>
      </c>
      <c r="AI5" s="47"/>
      <c r="AJ5" s="47"/>
      <c r="AK5" s="47"/>
      <c r="AL5" s="47"/>
      <c r="AM5" s="47"/>
      <c r="AN5" s="47"/>
      <c r="AO5" s="47"/>
      <c r="AP5" s="47"/>
      <c r="AQ5" s="47"/>
      <c r="AR5" s="47">
        <v>3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>
        <v>4</v>
      </c>
      <c r="BH5" s="47"/>
      <c r="BI5" s="47"/>
      <c r="BJ5" s="47"/>
      <c r="BK5" s="47"/>
      <c r="BL5" s="47"/>
      <c r="BM5" s="47"/>
      <c r="BN5" s="47"/>
      <c r="BO5" s="47"/>
      <c r="BP5" s="47"/>
      <c r="BQ5" s="47">
        <v>5</v>
      </c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>
        <v>6</v>
      </c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>
        <v>7</v>
      </c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>
        <v>8</v>
      </c>
      <c r="CZ5" s="47"/>
      <c r="DA5" s="47"/>
      <c r="DB5" s="47"/>
      <c r="DC5" s="47"/>
      <c r="DD5" s="47"/>
      <c r="DE5" s="47"/>
      <c r="DF5" s="47"/>
      <c r="DG5" s="47"/>
      <c r="DH5" s="47"/>
      <c r="DI5" s="47">
        <v>9</v>
      </c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>
        <v>10</v>
      </c>
      <c r="DV5" s="47"/>
      <c r="DW5" s="47"/>
      <c r="DX5" s="47"/>
      <c r="DY5" s="47"/>
      <c r="DZ5" s="47"/>
      <c r="EA5" s="47"/>
      <c r="EB5" s="47"/>
      <c r="EC5" s="47"/>
      <c r="ED5" s="47"/>
      <c r="EE5" s="47">
        <v>11</v>
      </c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>
        <v>12</v>
      </c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>
        <v>13</v>
      </c>
      <c r="FB5" s="47"/>
      <c r="FC5" s="47"/>
      <c r="FD5" s="47"/>
      <c r="FE5" s="47"/>
      <c r="FF5" s="47"/>
      <c r="FG5" s="47"/>
      <c r="FH5" s="47"/>
      <c r="FI5" s="47"/>
      <c r="FJ5" s="47"/>
      <c r="FK5" s="47"/>
    </row>
    <row r="6" spans="1:167" s="2" customFormat="1" ht="27" customHeight="1">
      <c r="A6" s="3"/>
      <c r="B6" s="51" t="s">
        <v>24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</row>
    <row r="7" spans="1:167" s="2" customFormat="1" ht="39" customHeight="1">
      <c r="A7" s="3"/>
      <c r="B7" s="51" t="s">
        <v>25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</row>
    <row r="8" spans="1:167" s="2" customFormat="1" ht="39" customHeight="1">
      <c r="A8" s="3"/>
      <c r="B8" s="51" t="s">
        <v>26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</row>
    <row r="9" spans="1:167" s="2" customFormat="1" ht="27" customHeight="1">
      <c r="A9" s="3"/>
      <c r="B9" s="51" t="s">
        <v>27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>
        <f>AH9+BG9+BQ9+CB9+CN9+CY9+DI9+DU9+EE9+EP9</f>
        <v>0</v>
      </c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7" s="2" customFormat="1" ht="14.25" customHeight="1">
      <c r="A10" s="3"/>
      <c r="B10" s="51" t="s">
        <v>28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pans="1:167" s="2" customFormat="1" ht="14.25" customHeight="1">
      <c r="A11" s="3"/>
      <c r="B11" s="51" t="s">
        <v>29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</row>
    <row r="12" spans="1:167" s="2" customFormat="1" ht="14.25" customHeight="1">
      <c r="A12" s="3"/>
      <c r="B12" s="51" t="s">
        <v>30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</row>
    <row r="13" spans="1:167" s="2" customFormat="1" ht="14.25" customHeight="1">
      <c r="A13" s="3"/>
      <c r="B13" s="51" t="s">
        <v>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45">
        <f>30235*1.02</f>
        <v>30839.7</v>
      </c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>
        <f>9361*1.02</f>
        <v>9548.22</v>
      </c>
      <c r="BH13" s="45"/>
      <c r="BI13" s="45"/>
      <c r="BJ13" s="45"/>
      <c r="BK13" s="45"/>
      <c r="BL13" s="45"/>
      <c r="BM13" s="45"/>
      <c r="BN13" s="45"/>
      <c r="BO13" s="45"/>
      <c r="BP13" s="45"/>
      <c r="BQ13" s="45">
        <f>41928*1.02</f>
        <v>42766.56</v>
      </c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>
        <f>17389*1.02</f>
        <v>17736.78</v>
      </c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>
        <f>4564*1.02</f>
        <v>4655.28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>
        <f>18602*1.02</f>
        <v>18974.04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>
        <f>4272*1.02</f>
        <v>4357.4400000000005</v>
      </c>
      <c r="DV13" s="45"/>
      <c r="DW13" s="45"/>
      <c r="DX13" s="45"/>
      <c r="DY13" s="45"/>
      <c r="DZ13" s="45"/>
      <c r="EA13" s="45"/>
      <c r="EB13" s="45"/>
      <c r="EC13" s="45"/>
      <c r="ED13" s="45"/>
      <c r="EE13" s="45">
        <f>5117*1.02</f>
        <v>5219.34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>
        <f>180*1.02</f>
        <v>183.6</v>
      </c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>
        <f>AH13+BG13+BQ13+CN13+CY13+DI13+DU13+EE13</f>
        <v>134097.36</v>
      </c>
      <c r="FB13" s="45"/>
      <c r="FC13" s="45"/>
      <c r="FD13" s="45"/>
      <c r="FE13" s="45"/>
      <c r="FF13" s="45"/>
      <c r="FG13" s="45"/>
      <c r="FH13" s="45"/>
      <c r="FI13" s="45"/>
      <c r="FJ13" s="45"/>
      <c r="FK13" s="45"/>
    </row>
    <row r="14" spans="1:167" s="2" customFormat="1" ht="156.75" customHeight="1">
      <c r="A14" s="3"/>
      <c r="B14" s="51" t="s">
        <v>45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45">
        <f>AH9+AH13</f>
        <v>30839.7</v>
      </c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>
        <f>BG9+BG13</f>
        <v>9548.22</v>
      </c>
      <c r="BH14" s="45"/>
      <c r="BI14" s="45"/>
      <c r="BJ14" s="45"/>
      <c r="BK14" s="45"/>
      <c r="BL14" s="45"/>
      <c r="BM14" s="45"/>
      <c r="BN14" s="45"/>
      <c r="BO14" s="45"/>
      <c r="BP14" s="45"/>
      <c r="BQ14" s="45">
        <f>BQ9+BQ13</f>
        <v>42766.56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>
        <f>CN9+CN13</f>
        <v>17736.78</v>
      </c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>
        <f>CY13</f>
        <v>4655.28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>
        <f>DI9+DI13</f>
        <v>18974.04</v>
      </c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>
        <f>DU9+DU13</f>
        <v>4357.4400000000005</v>
      </c>
      <c r="DV14" s="45"/>
      <c r="DW14" s="45"/>
      <c r="DX14" s="45"/>
      <c r="DY14" s="45"/>
      <c r="DZ14" s="45"/>
      <c r="EA14" s="45"/>
      <c r="EB14" s="45"/>
      <c r="EC14" s="45"/>
      <c r="ED14" s="45"/>
      <c r="EE14" s="45">
        <f>EE9+EE13</f>
        <v>5219.34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>
        <f>EP9+EP13</f>
        <v>183.6</v>
      </c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>
        <f>FA9+FA13</f>
        <v>134097.36</v>
      </c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23" t="s">
        <v>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FS14" sqref="FS14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7" t="s">
        <v>44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8" t="s">
        <v>35</v>
      </c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50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50" t="s">
        <v>36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0" t="s">
        <v>43</v>
      </c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53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47">
        <v>2</v>
      </c>
      <c r="AI5" s="47"/>
      <c r="AJ5" s="47"/>
      <c r="AK5" s="47"/>
      <c r="AL5" s="47"/>
      <c r="AM5" s="47"/>
      <c r="AN5" s="47"/>
      <c r="AO5" s="47"/>
      <c r="AP5" s="47"/>
      <c r="AQ5" s="47"/>
      <c r="AR5" s="47">
        <v>3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>
        <v>4</v>
      </c>
      <c r="BH5" s="47"/>
      <c r="BI5" s="47"/>
      <c r="BJ5" s="47"/>
      <c r="BK5" s="47"/>
      <c r="BL5" s="47"/>
      <c r="BM5" s="47"/>
      <c r="BN5" s="47"/>
      <c r="BO5" s="47"/>
      <c r="BP5" s="47"/>
      <c r="BQ5" s="47">
        <v>5</v>
      </c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>
        <v>6</v>
      </c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>
        <v>7</v>
      </c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>
        <v>8</v>
      </c>
      <c r="CZ5" s="47"/>
      <c r="DA5" s="47"/>
      <c r="DB5" s="47"/>
      <c r="DC5" s="47"/>
      <c r="DD5" s="47"/>
      <c r="DE5" s="47"/>
      <c r="DF5" s="47"/>
      <c r="DG5" s="47"/>
      <c r="DH5" s="47"/>
      <c r="DI5" s="47">
        <v>9</v>
      </c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>
        <v>10</v>
      </c>
      <c r="DV5" s="47"/>
      <c r="DW5" s="47"/>
      <c r="DX5" s="47"/>
      <c r="DY5" s="47"/>
      <c r="DZ5" s="47"/>
      <c r="EA5" s="47"/>
      <c r="EB5" s="47"/>
      <c r="EC5" s="47"/>
      <c r="ED5" s="47"/>
      <c r="EE5" s="47">
        <v>11</v>
      </c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>
        <v>12</v>
      </c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>
        <v>13</v>
      </c>
      <c r="FB5" s="47"/>
      <c r="FC5" s="47"/>
      <c r="FD5" s="47"/>
      <c r="FE5" s="47"/>
      <c r="FF5" s="47"/>
      <c r="FG5" s="47"/>
      <c r="FH5" s="47"/>
      <c r="FI5" s="47"/>
      <c r="FJ5" s="47"/>
      <c r="FK5" s="47"/>
    </row>
    <row r="6" spans="1:167" s="2" customFormat="1" ht="27" customHeight="1">
      <c r="A6" s="3"/>
      <c r="B6" s="51" t="s">
        <v>24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</row>
    <row r="7" spans="1:167" s="2" customFormat="1" ht="39" customHeight="1">
      <c r="A7" s="3"/>
      <c r="B7" s="51" t="s">
        <v>25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</row>
    <row r="8" spans="1:167" s="2" customFormat="1" ht="39" customHeight="1">
      <c r="A8" s="3"/>
      <c r="B8" s="51" t="s">
        <v>26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</row>
    <row r="9" spans="1:167" s="2" customFormat="1" ht="27" customHeight="1">
      <c r="A9" s="3"/>
      <c r="B9" s="51" t="s">
        <v>27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>
        <f>AH9+BG9+BQ9+CB9+CN9+CY9+DI9+DU9+EE9+EP9</f>
        <v>0</v>
      </c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7" s="2" customFormat="1" ht="14.25" customHeight="1">
      <c r="A10" s="3"/>
      <c r="B10" s="51" t="s">
        <v>28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pans="1:167" s="2" customFormat="1" ht="14.25" customHeight="1">
      <c r="A11" s="3"/>
      <c r="B11" s="51" t="s">
        <v>29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</row>
    <row r="12" spans="1:167" s="2" customFormat="1" ht="14.25" customHeight="1">
      <c r="A12" s="3"/>
      <c r="B12" s="51" t="s">
        <v>30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</row>
    <row r="13" spans="1:167" s="2" customFormat="1" ht="14.25" customHeight="1">
      <c r="A13" s="3"/>
      <c r="B13" s="51" t="s">
        <v>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45">
        <f>30235*1.03</f>
        <v>31142.05</v>
      </c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>
        <f>9361*1.03</f>
        <v>9641.83</v>
      </c>
      <c r="BH13" s="45"/>
      <c r="BI13" s="45"/>
      <c r="BJ13" s="45"/>
      <c r="BK13" s="45"/>
      <c r="BL13" s="45"/>
      <c r="BM13" s="45"/>
      <c r="BN13" s="45"/>
      <c r="BO13" s="45"/>
      <c r="BP13" s="45"/>
      <c r="BQ13" s="45">
        <f>41928*1.03</f>
        <v>43185.840000000004</v>
      </c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>
        <f>17389*1.03</f>
        <v>17910.670000000002</v>
      </c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>
        <f>4564*1.03</f>
        <v>4700.92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>
        <f>18602*1.03</f>
        <v>19160.06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>
        <f>4272*1.03</f>
        <v>4400.16</v>
      </c>
      <c r="DV13" s="45"/>
      <c r="DW13" s="45"/>
      <c r="DX13" s="45"/>
      <c r="DY13" s="45"/>
      <c r="DZ13" s="45"/>
      <c r="EA13" s="45"/>
      <c r="EB13" s="45"/>
      <c r="EC13" s="45"/>
      <c r="ED13" s="45"/>
      <c r="EE13" s="45">
        <f>5117*1.03</f>
        <v>5270.51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>
        <f>180*1.02</f>
        <v>183.6</v>
      </c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>
        <f>AH13+BG13+BQ13+CN13+CY13+DI13+DU13+EE13</f>
        <v>135412.04</v>
      </c>
      <c r="FB13" s="45"/>
      <c r="FC13" s="45"/>
      <c r="FD13" s="45"/>
      <c r="FE13" s="45"/>
      <c r="FF13" s="45"/>
      <c r="FG13" s="45"/>
      <c r="FH13" s="45"/>
      <c r="FI13" s="45"/>
      <c r="FJ13" s="45"/>
      <c r="FK13" s="45"/>
    </row>
    <row r="14" spans="1:167" s="2" customFormat="1" ht="156.75" customHeight="1">
      <c r="A14" s="3"/>
      <c r="B14" s="51" t="s">
        <v>45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45">
        <f>AH9+AH13</f>
        <v>31142.05</v>
      </c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>
        <f>BG9+BG13</f>
        <v>9641.83</v>
      </c>
      <c r="BH14" s="45"/>
      <c r="BI14" s="45"/>
      <c r="BJ14" s="45"/>
      <c r="BK14" s="45"/>
      <c r="BL14" s="45"/>
      <c r="BM14" s="45"/>
      <c r="BN14" s="45"/>
      <c r="BO14" s="45"/>
      <c r="BP14" s="45"/>
      <c r="BQ14" s="45">
        <f>BQ9+BQ13</f>
        <v>43185.840000000004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>
        <f>CN9+CN13</f>
        <v>17910.670000000002</v>
      </c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>
        <f>CY13</f>
        <v>4700.92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>
        <f>DI9+DI13</f>
        <v>19160.06</v>
      </c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>
        <f>DU9+DU13</f>
        <v>4400.16</v>
      </c>
      <c r="DV14" s="45"/>
      <c r="DW14" s="45"/>
      <c r="DX14" s="45"/>
      <c r="DY14" s="45"/>
      <c r="DZ14" s="45"/>
      <c r="EA14" s="45"/>
      <c r="EB14" s="45"/>
      <c r="EC14" s="45"/>
      <c r="ED14" s="45"/>
      <c r="EE14" s="45">
        <f>EE9+EE13</f>
        <v>5270.51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>
        <f>EP9+EP13</f>
        <v>183.6</v>
      </c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>
        <f>FA9+FA13</f>
        <v>135412.04</v>
      </c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23" t="s">
        <v>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3">
      <selection activeCell="BT22" sqref="BT22:CH22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1:108" s="8" customFormat="1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</row>
    <row r="5" spans="1:108" s="8" customFormat="1" ht="15.7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8" customFormat="1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4" t="s">
        <v>49</v>
      </c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54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6" t="s">
        <v>6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7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3" t="s">
        <v>9</v>
      </c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 t="s">
        <v>10</v>
      </c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0" t="s">
        <v>11</v>
      </c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ht="122.25" customHeight="1">
      <c r="A17" s="13"/>
      <c r="B17" s="25" t="s">
        <v>12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4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</row>
    <row r="18" spans="1:108" s="4" customFormat="1" ht="33" customHeight="1">
      <c r="A18" s="15"/>
      <c r="B18" s="25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</row>
    <row r="19" spans="1:108" s="4" customFormat="1" ht="33" customHeight="1">
      <c r="A19" s="15"/>
      <c r="B19" s="25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</row>
    <row r="20" spans="1:108" s="4" customFormat="1" ht="33" customHeight="1">
      <c r="A20" s="15"/>
      <c r="B20" s="25" t="s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</row>
    <row r="21" spans="1:108" s="4" customFormat="1" ht="18" customHeight="1">
      <c r="A21" s="15"/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>
        <v>4011</v>
      </c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>
        <f>BE21-BT21</f>
        <v>-4011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18" customHeight="1">
      <c r="A22" s="15"/>
      <c r="B22" s="25" t="s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5" t="s">
        <v>18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5" t="s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4" customFormat="1" ht="18" customHeight="1">
      <c r="A25" s="15"/>
      <c r="B25" s="25" t="s">
        <v>20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16"/>
      <c r="BE25" s="22">
        <v>318</v>
      </c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>
        <v>4555</v>
      </c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>
        <f>BE25-BT25</f>
        <v>-4237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4" customFormat="1" ht="18" customHeight="1">
      <c r="A26" s="15"/>
      <c r="B26" s="25" t="s">
        <v>21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16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4" customFormat="1" ht="18" customHeight="1">
      <c r="A27" s="15"/>
      <c r="B27" s="38" t="s">
        <v>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16"/>
      <c r="BE27" s="22">
        <f>BE21+BE25</f>
        <v>318</v>
      </c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>
        <f>BT21+BT25</f>
        <v>8566</v>
      </c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>
        <f>CI21+CI25</f>
        <v>-8248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ht="3.75" customHeight="1"/>
    <row r="29" spans="1:108" s="19" customFormat="1" ht="46.5" customHeight="1">
      <c r="A29" s="23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0">
      <selection activeCell="BT25" sqref="BT25:CH25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1:108" s="8" customFormat="1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</row>
    <row r="5" spans="1:108" s="8" customFormat="1" ht="15.7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8" customFormat="1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4" t="s">
        <v>52</v>
      </c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54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6" t="s">
        <v>6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7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3" t="s">
        <v>9</v>
      </c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 t="s">
        <v>10</v>
      </c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0" t="s">
        <v>11</v>
      </c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ht="122.25" customHeight="1">
      <c r="A17" s="13"/>
      <c r="B17" s="25" t="s">
        <v>12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4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</row>
    <row r="18" spans="1:108" s="4" customFormat="1" ht="33" customHeight="1">
      <c r="A18" s="15"/>
      <c r="B18" s="25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</row>
    <row r="19" spans="1:108" s="4" customFormat="1" ht="33" customHeight="1">
      <c r="A19" s="15"/>
      <c r="B19" s="25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</row>
    <row r="20" spans="1:108" s="4" customFormat="1" ht="33" customHeight="1">
      <c r="A20" s="15"/>
      <c r="B20" s="25" t="s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</row>
    <row r="21" spans="1:108" s="4" customFormat="1" ht="18" customHeight="1">
      <c r="A21" s="15"/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>
        <f>4011*1.02</f>
        <v>4091.2200000000003</v>
      </c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>
        <f>BE21-BT21</f>
        <v>-4091.2200000000003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18" customHeight="1">
      <c r="A22" s="15"/>
      <c r="B22" s="25" t="s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5" t="s">
        <v>18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5" t="s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4" customFormat="1" ht="18" customHeight="1">
      <c r="A25" s="15"/>
      <c r="B25" s="25" t="s">
        <v>20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16"/>
      <c r="BE25" s="22">
        <f>318*1.2</f>
        <v>381.59999999999997</v>
      </c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>
        <f>4555*1.03</f>
        <v>4691.650000000001</v>
      </c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>
        <f>BE25-BT25</f>
        <v>-4310.05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4" customFormat="1" ht="18" customHeight="1">
      <c r="A26" s="15"/>
      <c r="B26" s="25" t="s">
        <v>21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16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4" customFormat="1" ht="18" customHeight="1">
      <c r="A27" s="15"/>
      <c r="B27" s="38" t="s">
        <v>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16"/>
      <c r="BE27" s="22">
        <f>BE21+BE25</f>
        <v>381.59999999999997</v>
      </c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>
        <f>BT21+BT25</f>
        <v>8782.87</v>
      </c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>
        <f>CI21+CI25</f>
        <v>-8401.27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ht="3.75" customHeight="1"/>
    <row r="29" spans="1:108" s="19" customFormat="1" ht="46.5" customHeight="1">
      <c r="A29" s="23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6">
      <selection activeCell="BT25" sqref="BT25:CH25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1:108" s="8" customFormat="1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</row>
    <row r="5" spans="1:108" s="8" customFormat="1" ht="15.7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8" customFormat="1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4" t="s">
        <v>53</v>
      </c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54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6" t="s">
        <v>6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7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3" t="s">
        <v>9</v>
      </c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 t="s">
        <v>10</v>
      </c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0" t="s">
        <v>11</v>
      </c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ht="122.25" customHeight="1">
      <c r="A17" s="13"/>
      <c r="B17" s="25" t="s">
        <v>12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4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</row>
    <row r="18" spans="1:108" s="4" customFormat="1" ht="33" customHeight="1">
      <c r="A18" s="15"/>
      <c r="B18" s="25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</row>
    <row r="19" spans="1:108" s="4" customFormat="1" ht="33" customHeight="1">
      <c r="A19" s="15"/>
      <c r="B19" s="25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</row>
    <row r="20" spans="1:108" s="4" customFormat="1" ht="33" customHeight="1">
      <c r="A20" s="15"/>
      <c r="B20" s="25" t="s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</row>
    <row r="21" spans="1:108" s="4" customFormat="1" ht="18" customHeight="1">
      <c r="A21" s="15"/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>
        <f>4011*1.03</f>
        <v>4131.33</v>
      </c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>
        <f>BE21-BT21</f>
        <v>-4131.33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18" customHeight="1">
      <c r="A22" s="15"/>
      <c r="B22" s="25" t="s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5" t="s">
        <v>18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5" t="s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4" customFormat="1" ht="18" customHeight="1">
      <c r="A25" s="15"/>
      <c r="B25" s="25" t="s">
        <v>20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16"/>
      <c r="BE25" s="22">
        <f>318*1.2</f>
        <v>381.59999999999997</v>
      </c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>
        <f>4555*1.05</f>
        <v>4782.75</v>
      </c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>
        <f>BE25-BT25</f>
        <v>-4401.15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4" customFormat="1" ht="18" customHeight="1">
      <c r="A26" s="15"/>
      <c r="B26" s="25" t="s">
        <v>21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16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4" customFormat="1" ht="18" customHeight="1">
      <c r="A27" s="15"/>
      <c r="B27" s="38" t="s">
        <v>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16"/>
      <c r="BE27" s="22">
        <f>BE21+BE25</f>
        <v>381.59999999999997</v>
      </c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>
        <f>BT21+BT25</f>
        <v>8914.08</v>
      </c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>
        <f>CI21+CI25</f>
        <v>-8532.48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ht="3.75" customHeight="1"/>
    <row r="29" spans="1:108" s="19" customFormat="1" ht="46.5" customHeight="1">
      <c r="A29" s="23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EP13" sqref="EP13:EZ13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7" t="s">
        <v>44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8" t="s">
        <v>35</v>
      </c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50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50" t="s">
        <v>36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0" t="s">
        <v>43</v>
      </c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53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47">
        <v>2</v>
      </c>
      <c r="AI5" s="47"/>
      <c r="AJ5" s="47"/>
      <c r="AK5" s="47"/>
      <c r="AL5" s="47"/>
      <c r="AM5" s="47"/>
      <c r="AN5" s="47"/>
      <c r="AO5" s="47"/>
      <c r="AP5" s="47"/>
      <c r="AQ5" s="47"/>
      <c r="AR5" s="47">
        <v>3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>
        <v>4</v>
      </c>
      <c r="BH5" s="47"/>
      <c r="BI5" s="47"/>
      <c r="BJ5" s="47"/>
      <c r="BK5" s="47"/>
      <c r="BL5" s="47"/>
      <c r="BM5" s="47"/>
      <c r="BN5" s="47"/>
      <c r="BO5" s="47"/>
      <c r="BP5" s="47"/>
      <c r="BQ5" s="47">
        <v>5</v>
      </c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>
        <v>6</v>
      </c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>
        <v>7</v>
      </c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>
        <v>8</v>
      </c>
      <c r="CZ5" s="47"/>
      <c r="DA5" s="47"/>
      <c r="DB5" s="47"/>
      <c r="DC5" s="47"/>
      <c r="DD5" s="47"/>
      <c r="DE5" s="47"/>
      <c r="DF5" s="47"/>
      <c r="DG5" s="47"/>
      <c r="DH5" s="47"/>
      <c r="DI5" s="47">
        <v>9</v>
      </c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>
        <v>10</v>
      </c>
      <c r="DV5" s="47"/>
      <c r="DW5" s="47"/>
      <c r="DX5" s="47"/>
      <c r="DY5" s="47"/>
      <c r="DZ5" s="47"/>
      <c r="EA5" s="47"/>
      <c r="EB5" s="47"/>
      <c r="EC5" s="47"/>
      <c r="ED5" s="47"/>
      <c r="EE5" s="47">
        <v>11</v>
      </c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>
        <v>12</v>
      </c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>
        <v>13</v>
      </c>
      <c r="FB5" s="47"/>
      <c r="FC5" s="47"/>
      <c r="FD5" s="47"/>
      <c r="FE5" s="47"/>
      <c r="FF5" s="47"/>
      <c r="FG5" s="47"/>
      <c r="FH5" s="47"/>
      <c r="FI5" s="47"/>
      <c r="FJ5" s="47"/>
      <c r="FK5" s="47"/>
    </row>
    <row r="6" spans="1:167" s="2" customFormat="1" ht="27" customHeight="1">
      <c r="A6" s="3"/>
      <c r="B6" s="51" t="s">
        <v>24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</row>
    <row r="7" spans="1:167" s="2" customFormat="1" ht="39" customHeight="1">
      <c r="A7" s="3"/>
      <c r="B7" s="51" t="s">
        <v>25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</row>
    <row r="8" spans="1:167" s="2" customFormat="1" ht="39" customHeight="1">
      <c r="A8" s="3"/>
      <c r="B8" s="51" t="s">
        <v>26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</row>
    <row r="9" spans="1:167" s="2" customFormat="1" ht="27" customHeight="1">
      <c r="A9" s="3"/>
      <c r="B9" s="51" t="s">
        <v>27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5">
        <f>1203</f>
        <v>1203</v>
      </c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>
        <f>348</f>
        <v>348</v>
      </c>
      <c r="BH9" s="45"/>
      <c r="BI9" s="45"/>
      <c r="BJ9" s="45"/>
      <c r="BK9" s="45"/>
      <c r="BL9" s="45"/>
      <c r="BM9" s="45"/>
      <c r="BN9" s="45"/>
      <c r="BO9" s="45"/>
      <c r="BP9" s="45"/>
      <c r="BQ9" s="45">
        <f>1588</f>
        <v>1588</v>
      </c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>
        <f>75</f>
        <v>75</v>
      </c>
      <c r="CZ9" s="45"/>
      <c r="DA9" s="45"/>
      <c r="DB9" s="45"/>
      <c r="DC9" s="45"/>
      <c r="DD9" s="45"/>
      <c r="DE9" s="45"/>
      <c r="DF9" s="45"/>
      <c r="DG9" s="45"/>
      <c r="DH9" s="45"/>
      <c r="DI9" s="45">
        <f>764</f>
        <v>764</v>
      </c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>
        <f>33</f>
        <v>33</v>
      </c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>
        <f>AH9+BG9+BQ9+CB9+CN9+CY9+DI9+DU9+EE9+EP9</f>
        <v>4011</v>
      </c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7" s="2" customFormat="1" ht="14.25" customHeight="1">
      <c r="A10" s="3"/>
      <c r="B10" s="51" t="s">
        <v>28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pans="1:167" s="2" customFormat="1" ht="14.25" customHeight="1">
      <c r="A11" s="3"/>
      <c r="B11" s="51" t="s">
        <v>29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</row>
    <row r="12" spans="1:167" s="2" customFormat="1" ht="14.25" customHeight="1">
      <c r="A12" s="3"/>
      <c r="B12" s="51" t="s">
        <v>30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</row>
    <row r="13" spans="1:167" s="2" customFormat="1" ht="14.25" customHeight="1">
      <c r="A13" s="3"/>
      <c r="B13" s="51" t="s">
        <v>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45">
        <f>924</f>
        <v>924</v>
      </c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>
        <f>202</f>
        <v>202</v>
      </c>
      <c r="BH13" s="45"/>
      <c r="BI13" s="45"/>
      <c r="BJ13" s="45"/>
      <c r="BK13" s="45"/>
      <c r="BL13" s="45"/>
      <c r="BM13" s="45"/>
      <c r="BN13" s="45"/>
      <c r="BO13" s="45"/>
      <c r="BP13" s="45"/>
      <c r="BQ13" s="45">
        <f>254</f>
        <v>254</v>
      </c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>
        <f>2139</f>
        <v>2139</v>
      </c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>
        <f>7</f>
        <v>7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>
        <f>818</f>
        <v>818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>
        <f>211</f>
        <v>211</v>
      </c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>
        <f>AH13+BG13+BQ13+CN13+CY13+DI13+DU13+EE13</f>
        <v>4555</v>
      </c>
      <c r="FB13" s="45"/>
      <c r="FC13" s="45"/>
      <c r="FD13" s="45"/>
      <c r="FE13" s="45"/>
      <c r="FF13" s="45"/>
      <c r="FG13" s="45"/>
      <c r="FH13" s="45"/>
      <c r="FI13" s="45"/>
      <c r="FJ13" s="45"/>
      <c r="FK13" s="45"/>
    </row>
    <row r="14" spans="1:167" s="2" customFormat="1" ht="156.75" customHeight="1">
      <c r="A14" s="3"/>
      <c r="B14" s="51" t="s">
        <v>45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45">
        <f>AH9+AH13</f>
        <v>2127</v>
      </c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>
        <f>BG9+BG13</f>
        <v>550</v>
      </c>
      <c r="BH14" s="45"/>
      <c r="BI14" s="45"/>
      <c r="BJ14" s="45"/>
      <c r="BK14" s="45"/>
      <c r="BL14" s="45"/>
      <c r="BM14" s="45"/>
      <c r="BN14" s="45"/>
      <c r="BO14" s="45"/>
      <c r="BP14" s="45"/>
      <c r="BQ14" s="45">
        <f>BQ9+BQ13</f>
        <v>1842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>
        <f>CN9+CN13</f>
        <v>2139</v>
      </c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>
        <f>CY13</f>
        <v>7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>
        <f>DI9+DI13</f>
        <v>1582</v>
      </c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>
        <f>DU9+DU13</f>
        <v>244</v>
      </c>
      <c r="DV14" s="45"/>
      <c r="DW14" s="45"/>
      <c r="DX14" s="45"/>
      <c r="DY14" s="45"/>
      <c r="DZ14" s="45"/>
      <c r="EA14" s="45"/>
      <c r="EB14" s="45"/>
      <c r="EC14" s="45"/>
      <c r="ED14" s="45"/>
      <c r="EE14" s="45">
        <f>EE9+EE13</f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>
        <f>EP9+EP13</f>
        <v>0</v>
      </c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>
        <f>FA9+FA13</f>
        <v>8566</v>
      </c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23" t="s">
        <v>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DU14" sqref="DU14:ED14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7" t="s">
        <v>44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8" t="s">
        <v>35</v>
      </c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50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50" t="s">
        <v>36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0" t="s">
        <v>43</v>
      </c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53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47">
        <v>2</v>
      </c>
      <c r="AI5" s="47"/>
      <c r="AJ5" s="47"/>
      <c r="AK5" s="47"/>
      <c r="AL5" s="47"/>
      <c r="AM5" s="47"/>
      <c r="AN5" s="47"/>
      <c r="AO5" s="47"/>
      <c r="AP5" s="47"/>
      <c r="AQ5" s="47"/>
      <c r="AR5" s="47">
        <v>3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>
        <v>4</v>
      </c>
      <c r="BH5" s="47"/>
      <c r="BI5" s="47"/>
      <c r="BJ5" s="47"/>
      <c r="BK5" s="47"/>
      <c r="BL5" s="47"/>
      <c r="BM5" s="47"/>
      <c r="BN5" s="47"/>
      <c r="BO5" s="47"/>
      <c r="BP5" s="47"/>
      <c r="BQ5" s="47">
        <v>5</v>
      </c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>
        <v>6</v>
      </c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>
        <v>7</v>
      </c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>
        <v>8</v>
      </c>
      <c r="CZ5" s="47"/>
      <c r="DA5" s="47"/>
      <c r="DB5" s="47"/>
      <c r="DC5" s="47"/>
      <c r="DD5" s="47"/>
      <c r="DE5" s="47"/>
      <c r="DF5" s="47"/>
      <c r="DG5" s="47"/>
      <c r="DH5" s="47"/>
      <c r="DI5" s="47">
        <v>9</v>
      </c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>
        <v>10</v>
      </c>
      <c r="DV5" s="47"/>
      <c r="DW5" s="47"/>
      <c r="DX5" s="47"/>
      <c r="DY5" s="47"/>
      <c r="DZ5" s="47"/>
      <c r="EA5" s="47"/>
      <c r="EB5" s="47"/>
      <c r="EC5" s="47"/>
      <c r="ED5" s="47"/>
      <c r="EE5" s="47">
        <v>11</v>
      </c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>
        <v>12</v>
      </c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>
        <v>13</v>
      </c>
      <c r="FB5" s="47"/>
      <c r="FC5" s="47"/>
      <c r="FD5" s="47"/>
      <c r="FE5" s="47"/>
      <c r="FF5" s="47"/>
      <c r="FG5" s="47"/>
      <c r="FH5" s="47"/>
      <c r="FI5" s="47"/>
      <c r="FJ5" s="47"/>
      <c r="FK5" s="47"/>
    </row>
    <row r="6" spans="1:167" s="2" customFormat="1" ht="27" customHeight="1">
      <c r="A6" s="3"/>
      <c r="B6" s="51" t="s">
        <v>24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</row>
    <row r="7" spans="1:167" s="2" customFormat="1" ht="39" customHeight="1">
      <c r="A7" s="3"/>
      <c r="B7" s="51" t="s">
        <v>25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</row>
    <row r="8" spans="1:167" s="2" customFormat="1" ht="39" customHeight="1">
      <c r="A8" s="3"/>
      <c r="B8" s="51" t="s">
        <v>26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</row>
    <row r="9" spans="1:167" s="2" customFormat="1" ht="27" customHeight="1">
      <c r="A9" s="3"/>
      <c r="B9" s="51" t="s">
        <v>27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5">
        <f>1203*1.02</f>
        <v>1227.06</v>
      </c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>
        <f>348*1.02</f>
        <v>354.96</v>
      </c>
      <c r="BH9" s="45"/>
      <c r="BI9" s="45"/>
      <c r="BJ9" s="45"/>
      <c r="BK9" s="45"/>
      <c r="BL9" s="45"/>
      <c r="BM9" s="45"/>
      <c r="BN9" s="45"/>
      <c r="BO9" s="45"/>
      <c r="BP9" s="45"/>
      <c r="BQ9" s="45">
        <f>1588*1.02</f>
        <v>1619.76</v>
      </c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>
        <f>75*1.02</f>
        <v>76.5</v>
      </c>
      <c r="CZ9" s="45"/>
      <c r="DA9" s="45"/>
      <c r="DB9" s="45"/>
      <c r="DC9" s="45"/>
      <c r="DD9" s="45"/>
      <c r="DE9" s="45"/>
      <c r="DF9" s="45"/>
      <c r="DG9" s="45"/>
      <c r="DH9" s="45"/>
      <c r="DI9" s="45">
        <f>764*1.02</f>
        <v>779.28</v>
      </c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>
        <f>33*1.02</f>
        <v>33.660000000000004</v>
      </c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>
        <f>AH9+BG9+BQ9+CB9+CN9+CY9+DI9+DU9+EE9+EP9</f>
        <v>4091.2199999999993</v>
      </c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7" s="2" customFormat="1" ht="14.25" customHeight="1">
      <c r="A10" s="3"/>
      <c r="B10" s="51" t="s">
        <v>28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pans="1:167" s="2" customFormat="1" ht="14.25" customHeight="1">
      <c r="A11" s="3"/>
      <c r="B11" s="51" t="s">
        <v>29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</row>
    <row r="12" spans="1:167" s="2" customFormat="1" ht="14.25" customHeight="1">
      <c r="A12" s="3"/>
      <c r="B12" s="51" t="s">
        <v>30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</row>
    <row r="13" spans="1:167" s="2" customFormat="1" ht="14.25" customHeight="1">
      <c r="A13" s="3"/>
      <c r="B13" s="51" t="s">
        <v>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45">
        <f>924*1.03</f>
        <v>951.72</v>
      </c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>
        <f>202*1.03</f>
        <v>208.06</v>
      </c>
      <c r="BH13" s="45"/>
      <c r="BI13" s="45"/>
      <c r="BJ13" s="45"/>
      <c r="BK13" s="45"/>
      <c r="BL13" s="45"/>
      <c r="BM13" s="45"/>
      <c r="BN13" s="45"/>
      <c r="BO13" s="45"/>
      <c r="BP13" s="45"/>
      <c r="BQ13" s="45">
        <f>254*1.03</f>
        <v>261.62</v>
      </c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>
        <f>2139*1.03</f>
        <v>2203.17</v>
      </c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>
        <f>7*1.03</f>
        <v>7.21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>
        <f>818*1.03</f>
        <v>842.5400000000001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>
        <f>211*1.03</f>
        <v>217.33</v>
      </c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>
        <f>AH13+BG13+BQ13+CN13+CY13+DI13+DU13+EE13</f>
        <v>4691.650000000001</v>
      </c>
      <c r="FB13" s="45"/>
      <c r="FC13" s="45"/>
      <c r="FD13" s="45"/>
      <c r="FE13" s="45"/>
      <c r="FF13" s="45"/>
      <c r="FG13" s="45"/>
      <c r="FH13" s="45"/>
      <c r="FI13" s="45"/>
      <c r="FJ13" s="45"/>
      <c r="FK13" s="45"/>
    </row>
    <row r="14" spans="1:167" s="2" customFormat="1" ht="156.75" customHeight="1">
      <c r="A14" s="3"/>
      <c r="B14" s="51" t="s">
        <v>45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45">
        <f>AH9+AH13</f>
        <v>2178.7799999999997</v>
      </c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>
        <f>BG9+BG13</f>
        <v>563.02</v>
      </c>
      <c r="BH14" s="45"/>
      <c r="BI14" s="45"/>
      <c r="BJ14" s="45"/>
      <c r="BK14" s="45"/>
      <c r="BL14" s="45"/>
      <c r="BM14" s="45"/>
      <c r="BN14" s="45"/>
      <c r="BO14" s="45"/>
      <c r="BP14" s="45"/>
      <c r="BQ14" s="45">
        <f>BQ9+BQ13</f>
        <v>1881.38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>
        <f>CN9+CN13</f>
        <v>2203.17</v>
      </c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>
        <f>CY13</f>
        <v>7.21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>
        <f>DI9+DI13</f>
        <v>1621.8200000000002</v>
      </c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>
        <f>DU9+DU13</f>
        <v>250.99</v>
      </c>
      <c r="DV14" s="45"/>
      <c r="DW14" s="45"/>
      <c r="DX14" s="45"/>
      <c r="DY14" s="45"/>
      <c r="DZ14" s="45"/>
      <c r="EA14" s="45"/>
      <c r="EB14" s="45"/>
      <c r="EC14" s="45"/>
      <c r="ED14" s="45"/>
      <c r="EE14" s="45">
        <f>EE9+EE13</f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>
        <f>EP9+EP13</f>
        <v>0</v>
      </c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>
        <f>FA9+FA13</f>
        <v>8782.869999999999</v>
      </c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23" t="s">
        <v>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DU14" sqref="DU14:ED14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7" t="s">
        <v>44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8" t="s">
        <v>35</v>
      </c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50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50" t="s">
        <v>36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0" t="s">
        <v>43</v>
      </c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53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47">
        <v>2</v>
      </c>
      <c r="AI5" s="47"/>
      <c r="AJ5" s="47"/>
      <c r="AK5" s="47"/>
      <c r="AL5" s="47"/>
      <c r="AM5" s="47"/>
      <c r="AN5" s="47"/>
      <c r="AO5" s="47"/>
      <c r="AP5" s="47"/>
      <c r="AQ5" s="47"/>
      <c r="AR5" s="47">
        <v>3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>
        <v>4</v>
      </c>
      <c r="BH5" s="47"/>
      <c r="BI5" s="47"/>
      <c r="BJ5" s="47"/>
      <c r="BK5" s="47"/>
      <c r="BL5" s="47"/>
      <c r="BM5" s="47"/>
      <c r="BN5" s="47"/>
      <c r="BO5" s="47"/>
      <c r="BP5" s="47"/>
      <c r="BQ5" s="47">
        <v>5</v>
      </c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>
        <v>6</v>
      </c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>
        <v>7</v>
      </c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>
        <v>8</v>
      </c>
      <c r="CZ5" s="47"/>
      <c r="DA5" s="47"/>
      <c r="DB5" s="47"/>
      <c r="DC5" s="47"/>
      <c r="DD5" s="47"/>
      <c r="DE5" s="47"/>
      <c r="DF5" s="47"/>
      <c r="DG5" s="47"/>
      <c r="DH5" s="47"/>
      <c r="DI5" s="47">
        <v>9</v>
      </c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>
        <v>10</v>
      </c>
      <c r="DV5" s="47"/>
      <c r="DW5" s="47"/>
      <c r="DX5" s="47"/>
      <c r="DY5" s="47"/>
      <c r="DZ5" s="47"/>
      <c r="EA5" s="47"/>
      <c r="EB5" s="47"/>
      <c r="EC5" s="47"/>
      <c r="ED5" s="47"/>
      <c r="EE5" s="47">
        <v>11</v>
      </c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>
        <v>12</v>
      </c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>
        <v>13</v>
      </c>
      <c r="FB5" s="47"/>
      <c r="FC5" s="47"/>
      <c r="FD5" s="47"/>
      <c r="FE5" s="47"/>
      <c r="FF5" s="47"/>
      <c r="FG5" s="47"/>
      <c r="FH5" s="47"/>
      <c r="FI5" s="47"/>
      <c r="FJ5" s="47"/>
      <c r="FK5" s="47"/>
    </row>
    <row r="6" spans="1:167" s="2" customFormat="1" ht="27" customHeight="1">
      <c r="A6" s="3"/>
      <c r="B6" s="51" t="s">
        <v>24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</row>
    <row r="7" spans="1:167" s="2" customFormat="1" ht="39" customHeight="1">
      <c r="A7" s="3"/>
      <c r="B7" s="51" t="s">
        <v>25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</row>
    <row r="8" spans="1:167" s="2" customFormat="1" ht="39" customHeight="1">
      <c r="A8" s="3"/>
      <c r="B8" s="51" t="s">
        <v>26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</row>
    <row r="9" spans="1:167" s="2" customFormat="1" ht="27" customHeight="1">
      <c r="A9" s="3"/>
      <c r="B9" s="51" t="s">
        <v>27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5">
        <f>1203*1.03</f>
        <v>1239.0900000000001</v>
      </c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>
        <f>348*1.03</f>
        <v>358.44</v>
      </c>
      <c r="BH9" s="45"/>
      <c r="BI9" s="45"/>
      <c r="BJ9" s="45"/>
      <c r="BK9" s="45"/>
      <c r="BL9" s="45"/>
      <c r="BM9" s="45"/>
      <c r="BN9" s="45"/>
      <c r="BO9" s="45"/>
      <c r="BP9" s="45"/>
      <c r="BQ9" s="45">
        <f>1588*1.03</f>
        <v>1635.64</v>
      </c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>
        <f>75*1.03</f>
        <v>77.25</v>
      </c>
      <c r="CZ9" s="45"/>
      <c r="DA9" s="45"/>
      <c r="DB9" s="45"/>
      <c r="DC9" s="45"/>
      <c r="DD9" s="45"/>
      <c r="DE9" s="45"/>
      <c r="DF9" s="45"/>
      <c r="DG9" s="45"/>
      <c r="DH9" s="45"/>
      <c r="DI9" s="45">
        <f>764*1.03</f>
        <v>786.9200000000001</v>
      </c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>
        <f>33*1.03</f>
        <v>33.99</v>
      </c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>
        <f>AH9+BG9+BQ9+CB9+CN9+CY9+DI9+DU9+EE9+EP9</f>
        <v>4131.33</v>
      </c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7" s="2" customFormat="1" ht="14.25" customHeight="1">
      <c r="A10" s="3"/>
      <c r="B10" s="51" t="s">
        <v>28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pans="1:167" s="2" customFormat="1" ht="14.25" customHeight="1">
      <c r="A11" s="3"/>
      <c r="B11" s="51" t="s">
        <v>29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</row>
    <row r="12" spans="1:167" s="2" customFormat="1" ht="14.25" customHeight="1">
      <c r="A12" s="3"/>
      <c r="B12" s="51" t="s">
        <v>30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</row>
    <row r="13" spans="1:167" s="2" customFormat="1" ht="14.25" customHeight="1">
      <c r="A13" s="3"/>
      <c r="B13" s="51" t="s">
        <v>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45">
        <f>924*1.05</f>
        <v>970.2</v>
      </c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>
        <f>202*1.05</f>
        <v>212.10000000000002</v>
      </c>
      <c r="BH13" s="45"/>
      <c r="BI13" s="45"/>
      <c r="BJ13" s="45"/>
      <c r="BK13" s="45"/>
      <c r="BL13" s="45"/>
      <c r="BM13" s="45"/>
      <c r="BN13" s="45"/>
      <c r="BO13" s="45"/>
      <c r="BP13" s="45"/>
      <c r="BQ13" s="45">
        <f>254*1.05</f>
        <v>266.7</v>
      </c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>
        <f>2139*1.05</f>
        <v>2245.9500000000003</v>
      </c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>
        <f>7*1.05</f>
        <v>7.3500000000000005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>
        <f>818*1.05</f>
        <v>858.9000000000001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>
        <f>211*1.05</f>
        <v>221.55</v>
      </c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>
        <f>AH13+BG13+BQ13+CN13+CY13+DI13+DU13+EE13</f>
        <v>4782.750000000001</v>
      </c>
      <c r="FB13" s="45"/>
      <c r="FC13" s="45"/>
      <c r="FD13" s="45"/>
      <c r="FE13" s="45"/>
      <c r="FF13" s="45"/>
      <c r="FG13" s="45"/>
      <c r="FH13" s="45"/>
      <c r="FI13" s="45"/>
      <c r="FJ13" s="45"/>
      <c r="FK13" s="45"/>
    </row>
    <row r="14" spans="1:167" s="2" customFormat="1" ht="156.75" customHeight="1">
      <c r="A14" s="3"/>
      <c r="B14" s="51" t="s">
        <v>45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45">
        <f>AH9+AH13</f>
        <v>2209.29</v>
      </c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>
        <f>BG9+BG13</f>
        <v>570.54</v>
      </c>
      <c r="BH14" s="45"/>
      <c r="BI14" s="45"/>
      <c r="BJ14" s="45"/>
      <c r="BK14" s="45"/>
      <c r="BL14" s="45"/>
      <c r="BM14" s="45"/>
      <c r="BN14" s="45"/>
      <c r="BO14" s="45"/>
      <c r="BP14" s="45"/>
      <c r="BQ14" s="45">
        <f>BQ9+BQ13</f>
        <v>1902.3400000000001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>
        <f>CN9+CN13</f>
        <v>2245.9500000000003</v>
      </c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>
        <f>CY13</f>
        <v>7.3500000000000005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>
        <f>DI9+DI13</f>
        <v>1645.8200000000002</v>
      </c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>
        <f>DU9+DU13</f>
        <v>255.54000000000002</v>
      </c>
      <c r="DV14" s="45"/>
      <c r="DW14" s="45"/>
      <c r="DX14" s="45"/>
      <c r="DY14" s="45"/>
      <c r="DZ14" s="45"/>
      <c r="EA14" s="45"/>
      <c r="EB14" s="45"/>
      <c r="EC14" s="45"/>
      <c r="ED14" s="45"/>
      <c r="EE14" s="45">
        <f>EE9+EE13</f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>
        <f>EP9+EP13</f>
        <v>0</v>
      </c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>
        <f>FA9+FA13</f>
        <v>8914.080000000002</v>
      </c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23" t="s">
        <v>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1:108" s="8" customFormat="1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</row>
    <row r="5" spans="1:108" s="8" customFormat="1" ht="15.7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8" customFormat="1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4" t="s">
        <v>52</v>
      </c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50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6" t="s">
        <v>6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7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3" t="s">
        <v>9</v>
      </c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 t="s">
        <v>10</v>
      </c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0" t="s">
        <v>11</v>
      </c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ht="122.25" customHeight="1">
      <c r="A17" s="13"/>
      <c r="B17" s="25" t="s">
        <v>12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4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</row>
    <row r="18" spans="1:108" s="4" customFormat="1" ht="33" customHeight="1">
      <c r="A18" s="15"/>
      <c r="B18" s="25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</row>
    <row r="19" spans="1:108" s="4" customFormat="1" ht="33" customHeight="1">
      <c r="A19" s="15"/>
      <c r="B19" s="25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</row>
    <row r="20" spans="1:108" s="4" customFormat="1" ht="33" customHeight="1">
      <c r="A20" s="15"/>
      <c r="B20" s="25" t="s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</row>
    <row r="21" spans="1:108" s="4" customFormat="1" ht="18" customHeight="1">
      <c r="A21" s="15"/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2">
        <f>14329*1.06</f>
        <v>15188.740000000002</v>
      </c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>
        <f>5145*1.03</f>
        <v>5299.35</v>
      </c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>
        <f>BE21-BT21</f>
        <v>9889.390000000001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18" customHeight="1">
      <c r="A22" s="15"/>
      <c r="B22" s="25" t="s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5" t="s">
        <v>18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5" t="s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4" customFormat="1" ht="18" customHeight="1">
      <c r="A25" s="15"/>
      <c r="B25" s="25" t="s">
        <v>20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16"/>
      <c r="BE25" s="22">
        <f>471*1.2</f>
        <v>565.1999999999999</v>
      </c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>
        <f>6402*1.02</f>
        <v>6530.04</v>
      </c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>
        <f>BE25-BT25</f>
        <v>-5964.84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4" customFormat="1" ht="18" customHeight="1">
      <c r="A26" s="15"/>
      <c r="B26" s="25" t="s">
        <v>21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16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4" customFormat="1" ht="18" customHeight="1">
      <c r="A27" s="15"/>
      <c r="B27" s="38" t="s">
        <v>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16"/>
      <c r="BE27" s="22">
        <f>BE21+BE25</f>
        <v>15753.940000000002</v>
      </c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>
        <f>BT21+BT25</f>
        <v>11829.39</v>
      </c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>
        <f>CI21+CI25</f>
        <v>3924.550000000001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ht="3.75" customHeight="1"/>
    <row r="29" spans="1:108" s="19" customFormat="1" ht="46.5" customHeight="1">
      <c r="A29" s="23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1:108" s="8" customFormat="1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</row>
    <row r="5" spans="1:108" s="8" customFormat="1" ht="15.7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8" customFormat="1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4" t="s">
        <v>53</v>
      </c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50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6" t="s">
        <v>6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7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3" t="s">
        <v>9</v>
      </c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 t="s">
        <v>10</v>
      </c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0" t="s">
        <v>11</v>
      </c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ht="122.25" customHeight="1">
      <c r="A17" s="13"/>
      <c r="B17" s="25" t="s">
        <v>12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4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</row>
    <row r="18" spans="1:108" s="4" customFormat="1" ht="33" customHeight="1">
      <c r="A18" s="15"/>
      <c r="B18" s="25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</row>
    <row r="19" spans="1:108" s="4" customFormat="1" ht="33" customHeight="1">
      <c r="A19" s="15"/>
      <c r="B19" s="25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</row>
    <row r="20" spans="1:108" s="4" customFormat="1" ht="33" customHeight="1">
      <c r="A20" s="15"/>
      <c r="B20" s="25" t="s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</row>
    <row r="21" spans="1:108" s="4" customFormat="1" ht="18" customHeight="1">
      <c r="A21" s="15"/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2">
        <f>14329*1.1</f>
        <v>15761.900000000001</v>
      </c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>
        <f>5145*1.02</f>
        <v>5247.900000000001</v>
      </c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>
        <f>BE21-BT21</f>
        <v>10514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18" customHeight="1">
      <c r="A22" s="15"/>
      <c r="B22" s="25" t="s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5" t="s">
        <v>18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5" t="s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4" customFormat="1" ht="18" customHeight="1">
      <c r="A25" s="15"/>
      <c r="B25" s="25" t="s">
        <v>20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16"/>
      <c r="BE25" s="22">
        <f>471*1.3</f>
        <v>612.3000000000001</v>
      </c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>
        <f>6402*1.05</f>
        <v>6722.1</v>
      </c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>
        <f>BE25-BT25</f>
        <v>-6109.8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4" customFormat="1" ht="18" customHeight="1">
      <c r="A26" s="15"/>
      <c r="B26" s="25" t="s">
        <v>21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16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4" customFormat="1" ht="18" customHeight="1">
      <c r="A27" s="15"/>
      <c r="B27" s="38" t="s">
        <v>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16"/>
      <c r="BE27" s="22">
        <f>BE21+BE25</f>
        <v>16374.2</v>
      </c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>
        <f>BT21+BT25</f>
        <v>11970</v>
      </c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>
        <f>CI21+CI25</f>
        <v>4404.2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ht="3.75" customHeight="1"/>
    <row r="29" spans="1:108" s="19" customFormat="1" ht="46.5" customHeight="1">
      <c r="A29" s="23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BQ14" sqref="BQ14:CA14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7" t="s">
        <v>44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8" t="s">
        <v>35</v>
      </c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50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50" t="s">
        <v>36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0" t="s">
        <v>43</v>
      </c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53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47">
        <v>2</v>
      </c>
      <c r="AI5" s="47"/>
      <c r="AJ5" s="47"/>
      <c r="AK5" s="47"/>
      <c r="AL5" s="47"/>
      <c r="AM5" s="47"/>
      <c r="AN5" s="47"/>
      <c r="AO5" s="47"/>
      <c r="AP5" s="47"/>
      <c r="AQ5" s="47"/>
      <c r="AR5" s="47">
        <v>3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>
        <v>4</v>
      </c>
      <c r="BH5" s="47"/>
      <c r="BI5" s="47"/>
      <c r="BJ5" s="47"/>
      <c r="BK5" s="47"/>
      <c r="BL5" s="47"/>
      <c r="BM5" s="47"/>
      <c r="BN5" s="47"/>
      <c r="BO5" s="47"/>
      <c r="BP5" s="47"/>
      <c r="BQ5" s="47">
        <v>5</v>
      </c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>
        <v>6</v>
      </c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>
        <v>7</v>
      </c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>
        <v>8</v>
      </c>
      <c r="CZ5" s="47"/>
      <c r="DA5" s="47"/>
      <c r="DB5" s="47"/>
      <c r="DC5" s="47"/>
      <c r="DD5" s="47"/>
      <c r="DE5" s="47"/>
      <c r="DF5" s="47"/>
      <c r="DG5" s="47"/>
      <c r="DH5" s="47"/>
      <c r="DI5" s="47">
        <v>9</v>
      </c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>
        <v>10</v>
      </c>
      <c r="DV5" s="47"/>
      <c r="DW5" s="47"/>
      <c r="DX5" s="47"/>
      <c r="DY5" s="47"/>
      <c r="DZ5" s="47"/>
      <c r="EA5" s="47"/>
      <c r="EB5" s="47"/>
      <c r="EC5" s="47"/>
      <c r="ED5" s="47"/>
      <c r="EE5" s="47">
        <v>11</v>
      </c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>
        <v>12</v>
      </c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>
        <v>13</v>
      </c>
      <c r="FB5" s="47"/>
      <c r="FC5" s="47"/>
      <c r="FD5" s="47"/>
      <c r="FE5" s="47"/>
      <c r="FF5" s="47"/>
      <c r="FG5" s="47"/>
      <c r="FH5" s="47"/>
      <c r="FI5" s="47"/>
      <c r="FJ5" s="47"/>
      <c r="FK5" s="47"/>
    </row>
    <row r="6" spans="1:167" s="2" customFormat="1" ht="27" customHeight="1">
      <c r="A6" s="3"/>
      <c r="B6" s="51" t="s">
        <v>24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</row>
    <row r="7" spans="1:167" s="2" customFormat="1" ht="39" customHeight="1">
      <c r="A7" s="3"/>
      <c r="B7" s="51" t="s">
        <v>25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</row>
    <row r="8" spans="1:167" s="2" customFormat="1" ht="39" customHeight="1">
      <c r="A8" s="3"/>
      <c r="B8" s="51" t="s">
        <v>26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</row>
    <row r="9" spans="1:167" s="2" customFormat="1" ht="27" customHeight="1">
      <c r="A9" s="3"/>
      <c r="B9" s="51" t="s">
        <v>27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5">
        <f>1108*91.14%</f>
        <v>1009.8312</v>
      </c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>
        <f>327*91.14%</f>
        <v>298.0278</v>
      </c>
      <c r="BH9" s="45"/>
      <c r="BI9" s="45"/>
      <c r="BJ9" s="45"/>
      <c r="BK9" s="45"/>
      <c r="BL9" s="45"/>
      <c r="BM9" s="45"/>
      <c r="BN9" s="45"/>
      <c r="BO9" s="45"/>
      <c r="BP9" s="45"/>
      <c r="BQ9" s="45">
        <f>101*91.14%</f>
        <v>92.0514</v>
      </c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>
        <f>3853*91.14%</f>
        <v>3511.6241999999997</v>
      </c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>
        <f>257*91.14%</f>
        <v>234.22979999999998</v>
      </c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>
        <f>AH9+BG9+BQ9+CB9+CN9+CY9+DI9+DU9+EE9+EP9</f>
        <v>5145.7644</v>
      </c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7" s="2" customFormat="1" ht="14.25" customHeight="1">
      <c r="A10" s="3"/>
      <c r="B10" s="51" t="s">
        <v>28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pans="1:167" s="2" customFormat="1" ht="14.25" customHeight="1">
      <c r="A11" s="3"/>
      <c r="B11" s="51" t="s">
        <v>29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</row>
    <row r="12" spans="1:167" s="2" customFormat="1" ht="14.25" customHeight="1">
      <c r="A12" s="3"/>
      <c r="B12" s="51" t="s">
        <v>30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</row>
    <row r="13" spans="1:167" s="2" customFormat="1" ht="14.25" customHeight="1">
      <c r="A13" s="3"/>
      <c r="B13" s="51" t="s">
        <v>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45">
        <f>2441*97.42%</f>
        <v>2378.0222000000003</v>
      </c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>
        <f>632*97.42%</f>
        <v>615.6944000000001</v>
      </c>
      <c r="BH13" s="45"/>
      <c r="BI13" s="45"/>
      <c r="BJ13" s="45"/>
      <c r="BK13" s="45"/>
      <c r="BL13" s="45"/>
      <c r="BM13" s="45"/>
      <c r="BN13" s="45"/>
      <c r="BO13" s="45"/>
      <c r="BP13" s="45"/>
      <c r="BQ13" s="45">
        <f>2959*97.42%</f>
        <v>2882.6578000000004</v>
      </c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>
        <f>137*97.42%</f>
        <v>133.46540000000002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>
        <f>148*97.42%</f>
        <v>144.1816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>
        <f>246*97.42%+8</f>
        <v>247.65320000000003</v>
      </c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>
        <f>'СК1-16'!BT25</f>
        <v>6402</v>
      </c>
      <c r="FB13" s="45"/>
      <c r="FC13" s="45"/>
      <c r="FD13" s="45"/>
      <c r="FE13" s="45"/>
      <c r="FF13" s="45"/>
      <c r="FG13" s="45"/>
      <c r="FH13" s="45"/>
      <c r="FI13" s="45"/>
      <c r="FJ13" s="45"/>
      <c r="FK13" s="45"/>
    </row>
    <row r="14" spans="1:167" s="2" customFormat="1" ht="156.75" customHeight="1">
      <c r="A14" s="3"/>
      <c r="B14" s="51" t="s">
        <v>45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45">
        <f>AH9+AH13</f>
        <v>3387.8534000000004</v>
      </c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>
        <f>BG9+BG13</f>
        <v>913.7222000000002</v>
      </c>
      <c r="BH14" s="45"/>
      <c r="BI14" s="45"/>
      <c r="BJ14" s="45"/>
      <c r="BK14" s="45"/>
      <c r="BL14" s="45"/>
      <c r="BM14" s="45"/>
      <c r="BN14" s="45"/>
      <c r="BO14" s="45"/>
      <c r="BP14" s="45"/>
      <c r="BQ14" s="45">
        <f>BQ9+BQ13</f>
        <v>2974.7092000000002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>
        <f>CN9+CN13</f>
        <v>0</v>
      </c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>
        <f>CY13</f>
        <v>133.46540000000002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>
        <f>DI9+DI13</f>
        <v>3655.8057999999996</v>
      </c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>
        <f>DU9+DU13</f>
        <v>481.88300000000004</v>
      </c>
      <c r="DV14" s="45"/>
      <c r="DW14" s="45"/>
      <c r="DX14" s="45"/>
      <c r="DY14" s="45"/>
      <c r="DZ14" s="45"/>
      <c r="EA14" s="45"/>
      <c r="EB14" s="45"/>
      <c r="EC14" s="45"/>
      <c r="ED14" s="45"/>
      <c r="EE14" s="45">
        <f>EE9+EE13</f>
        <v>0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>
        <f>EP9+EP13</f>
        <v>0</v>
      </c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>
        <f>FA9+FA13</f>
        <v>11547.7644</v>
      </c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23" t="s">
        <v>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</row>
    <row r="17" s="19" customFormat="1" ht="3" customHeight="1"/>
  </sheetData>
  <sheetProtection/>
  <mergeCells count="146"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B10:AG10"/>
    <mergeCell ref="AH6:AQ6"/>
    <mergeCell ref="AH7:AQ7"/>
    <mergeCell ref="AH8:AQ8"/>
    <mergeCell ref="AH9:AQ9"/>
    <mergeCell ref="AH10:AQ10"/>
    <mergeCell ref="B9:AG9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A3:AG4"/>
    <mergeCell ref="AR5:BF5"/>
    <mergeCell ref="BG5:BP5"/>
    <mergeCell ref="AR6:BF6"/>
    <mergeCell ref="BG6:BP6"/>
    <mergeCell ref="AR7:BF7"/>
    <mergeCell ref="BG7:BP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DU7:ED7"/>
    <mergeCell ref="EE7:EO7"/>
    <mergeCell ref="EP7:EZ7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EE14" sqref="EE14:EO14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7" t="s">
        <v>44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8" t="s">
        <v>35</v>
      </c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50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50" t="s">
        <v>36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0" t="s">
        <v>43</v>
      </c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53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47">
        <v>2</v>
      </c>
      <c r="AI5" s="47"/>
      <c r="AJ5" s="47"/>
      <c r="AK5" s="47"/>
      <c r="AL5" s="47"/>
      <c r="AM5" s="47"/>
      <c r="AN5" s="47"/>
      <c r="AO5" s="47"/>
      <c r="AP5" s="47"/>
      <c r="AQ5" s="47"/>
      <c r="AR5" s="47">
        <v>3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>
        <v>4</v>
      </c>
      <c r="BH5" s="47"/>
      <c r="BI5" s="47"/>
      <c r="BJ5" s="47"/>
      <c r="BK5" s="47"/>
      <c r="BL5" s="47"/>
      <c r="BM5" s="47"/>
      <c r="BN5" s="47"/>
      <c r="BO5" s="47"/>
      <c r="BP5" s="47"/>
      <c r="BQ5" s="47">
        <v>5</v>
      </c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>
        <v>6</v>
      </c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>
        <v>7</v>
      </c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>
        <v>8</v>
      </c>
      <c r="CZ5" s="47"/>
      <c r="DA5" s="47"/>
      <c r="DB5" s="47"/>
      <c r="DC5" s="47"/>
      <c r="DD5" s="47"/>
      <c r="DE5" s="47"/>
      <c r="DF5" s="47"/>
      <c r="DG5" s="47"/>
      <c r="DH5" s="47"/>
      <c r="DI5" s="47">
        <v>9</v>
      </c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>
        <v>10</v>
      </c>
      <c r="DV5" s="47"/>
      <c r="DW5" s="47"/>
      <c r="DX5" s="47"/>
      <c r="DY5" s="47"/>
      <c r="DZ5" s="47"/>
      <c r="EA5" s="47"/>
      <c r="EB5" s="47"/>
      <c r="EC5" s="47"/>
      <c r="ED5" s="47"/>
      <c r="EE5" s="47">
        <v>11</v>
      </c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>
        <v>12</v>
      </c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>
        <v>13</v>
      </c>
      <c r="FB5" s="47"/>
      <c r="FC5" s="47"/>
      <c r="FD5" s="47"/>
      <c r="FE5" s="47"/>
      <c r="FF5" s="47"/>
      <c r="FG5" s="47"/>
      <c r="FH5" s="47"/>
      <c r="FI5" s="47"/>
      <c r="FJ5" s="47"/>
      <c r="FK5" s="47"/>
    </row>
    <row r="6" spans="1:167" s="2" customFormat="1" ht="27" customHeight="1">
      <c r="A6" s="3"/>
      <c r="B6" s="51" t="s">
        <v>24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</row>
    <row r="7" spans="1:167" s="2" customFormat="1" ht="39" customHeight="1">
      <c r="A7" s="3"/>
      <c r="B7" s="51" t="s">
        <v>25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</row>
    <row r="8" spans="1:167" s="2" customFormat="1" ht="39" customHeight="1">
      <c r="A8" s="3"/>
      <c r="B8" s="51" t="s">
        <v>26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</row>
    <row r="9" spans="1:167" s="2" customFormat="1" ht="27" customHeight="1">
      <c r="A9" s="3"/>
      <c r="B9" s="51" t="s">
        <v>27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5">
        <f>1108*91.14%*1.03</f>
        <v>1040.126136</v>
      </c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>
        <f>327*91.14%*1.03</f>
        <v>306.968634</v>
      </c>
      <c r="BH9" s="45"/>
      <c r="BI9" s="45"/>
      <c r="BJ9" s="45"/>
      <c r="BK9" s="45"/>
      <c r="BL9" s="45"/>
      <c r="BM9" s="45"/>
      <c r="BN9" s="45"/>
      <c r="BO9" s="45"/>
      <c r="BP9" s="45"/>
      <c r="BQ9" s="45">
        <f>101*91.14%*1.03</f>
        <v>94.812942</v>
      </c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>
        <f>3853*91.14%*1.03</f>
        <v>3616.972926</v>
      </c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>
        <f>257*91.14%*1.03-1</f>
        <v>240.25669399999998</v>
      </c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>
        <f>AH9+BG9+BQ9+CB9+CN9+CY9+DI9+DU9+EE9+EP9</f>
        <v>5299.137332</v>
      </c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7" s="2" customFormat="1" ht="14.25" customHeight="1">
      <c r="A10" s="3"/>
      <c r="B10" s="51" t="s">
        <v>28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pans="1:167" s="2" customFormat="1" ht="14.25" customHeight="1">
      <c r="A11" s="3"/>
      <c r="B11" s="51" t="s">
        <v>29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</row>
    <row r="12" spans="1:167" s="2" customFormat="1" ht="14.25" customHeight="1">
      <c r="A12" s="3"/>
      <c r="B12" s="51" t="s">
        <v>30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</row>
    <row r="13" spans="1:167" s="2" customFormat="1" ht="14.25" customHeight="1">
      <c r="A13" s="3"/>
      <c r="B13" s="51" t="s">
        <v>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45">
        <f>2441*97.42%*1.02</f>
        <v>2425.5826440000005</v>
      </c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>
        <f>632*97.42%*1.02</f>
        <v>628.0082880000001</v>
      </c>
      <c r="BH13" s="45"/>
      <c r="BI13" s="45"/>
      <c r="BJ13" s="45"/>
      <c r="BK13" s="45"/>
      <c r="BL13" s="45"/>
      <c r="BM13" s="45"/>
      <c r="BN13" s="45"/>
      <c r="BO13" s="45"/>
      <c r="BP13" s="45"/>
      <c r="BQ13" s="45">
        <f>2959*97.42%*1.02</f>
        <v>2940.3109560000003</v>
      </c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>
        <f>137*97.42%*1.02</f>
        <v>136.13470800000002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>
        <f>148*97.42%*1.02</f>
        <v>147.065232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>
        <f>246*97.42%+8*1.02</f>
        <v>247.81320000000002</v>
      </c>
      <c r="DV13" s="45"/>
      <c r="DW13" s="45"/>
      <c r="DX13" s="45"/>
      <c r="DY13" s="45"/>
      <c r="DZ13" s="45"/>
      <c r="EA13" s="45"/>
      <c r="EB13" s="45"/>
      <c r="EC13" s="45"/>
      <c r="ED13" s="45"/>
      <c r="EE13" s="45">
        <v>5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>
        <f>AH13+BG13+BQ13+CY13+DI13+DU13+EE13</f>
        <v>6529.915027999999</v>
      </c>
      <c r="FB13" s="45"/>
      <c r="FC13" s="45"/>
      <c r="FD13" s="45"/>
      <c r="FE13" s="45"/>
      <c r="FF13" s="45"/>
      <c r="FG13" s="45"/>
      <c r="FH13" s="45"/>
      <c r="FI13" s="45"/>
      <c r="FJ13" s="45"/>
      <c r="FK13" s="45"/>
    </row>
    <row r="14" spans="1:167" s="2" customFormat="1" ht="156.75" customHeight="1">
      <c r="A14" s="3"/>
      <c r="B14" s="51" t="s">
        <v>45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45">
        <f>AH9+AH13</f>
        <v>3465.708780000001</v>
      </c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>
        <f>BG9+BG13</f>
        <v>934.9769220000001</v>
      </c>
      <c r="BH14" s="45"/>
      <c r="BI14" s="45"/>
      <c r="BJ14" s="45"/>
      <c r="BK14" s="45"/>
      <c r="BL14" s="45"/>
      <c r="BM14" s="45"/>
      <c r="BN14" s="45"/>
      <c r="BO14" s="45"/>
      <c r="BP14" s="45"/>
      <c r="BQ14" s="45">
        <f>BQ9+BQ13</f>
        <v>3035.1238980000003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>
        <f>CN9+CN13</f>
        <v>0</v>
      </c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>
        <f>CY13</f>
        <v>136.13470800000002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>
        <f>DI9+DI13</f>
        <v>3764.038158</v>
      </c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>
        <f>DU9+DU13</f>
        <v>488.069894</v>
      </c>
      <c r="DV14" s="45"/>
      <c r="DW14" s="45"/>
      <c r="DX14" s="45"/>
      <c r="DY14" s="45"/>
      <c r="DZ14" s="45"/>
      <c r="EA14" s="45"/>
      <c r="EB14" s="45"/>
      <c r="EC14" s="45"/>
      <c r="ED14" s="45"/>
      <c r="EE14" s="45">
        <f>EE9+EE13</f>
        <v>5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>
        <f>EP9+EP13</f>
        <v>0</v>
      </c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>
        <f>FA9+FA13</f>
        <v>11829.05236</v>
      </c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23" t="s">
        <v>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6"/>
  <sheetViews>
    <sheetView view="pageBreakPreview" zoomScaleSheetLayoutView="100" zoomScalePageLayoutView="0" workbookViewId="0" topLeftCell="A1">
      <selection activeCell="GG8" sqref="GG8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37" t="s">
        <v>44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ht="9" customHeight="1"/>
    <row r="3" spans="1:167" s="1" customFormat="1" ht="27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39" t="s">
        <v>32</v>
      </c>
      <c r="AI3" s="40"/>
      <c r="AJ3" s="40"/>
      <c r="AK3" s="40"/>
      <c r="AL3" s="40"/>
      <c r="AM3" s="40"/>
      <c r="AN3" s="40"/>
      <c r="AO3" s="40"/>
      <c r="AP3" s="40"/>
      <c r="AQ3" s="41"/>
      <c r="AR3" s="39" t="s">
        <v>33</v>
      </c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39" t="s">
        <v>40</v>
      </c>
      <c r="BH3" s="40"/>
      <c r="BI3" s="40"/>
      <c r="BJ3" s="40"/>
      <c r="BK3" s="40"/>
      <c r="BL3" s="40"/>
      <c r="BM3" s="40"/>
      <c r="BN3" s="40"/>
      <c r="BO3" s="40"/>
      <c r="BP3" s="41"/>
      <c r="BQ3" s="39" t="s">
        <v>41</v>
      </c>
      <c r="BR3" s="40"/>
      <c r="BS3" s="40"/>
      <c r="BT3" s="40"/>
      <c r="BU3" s="40"/>
      <c r="BV3" s="40"/>
      <c r="BW3" s="40"/>
      <c r="BX3" s="40"/>
      <c r="BY3" s="40"/>
      <c r="BZ3" s="40"/>
      <c r="CA3" s="41"/>
      <c r="CB3" s="39" t="s">
        <v>34</v>
      </c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1"/>
      <c r="CN3" s="39" t="s">
        <v>39</v>
      </c>
      <c r="CO3" s="40"/>
      <c r="CP3" s="40"/>
      <c r="CQ3" s="40"/>
      <c r="CR3" s="40"/>
      <c r="CS3" s="40"/>
      <c r="CT3" s="40"/>
      <c r="CU3" s="40"/>
      <c r="CV3" s="40"/>
      <c r="CW3" s="40"/>
      <c r="CX3" s="41"/>
      <c r="CY3" s="39" t="s">
        <v>42</v>
      </c>
      <c r="CZ3" s="40"/>
      <c r="DA3" s="40"/>
      <c r="DB3" s="40"/>
      <c r="DC3" s="40"/>
      <c r="DD3" s="40"/>
      <c r="DE3" s="40"/>
      <c r="DF3" s="40"/>
      <c r="DG3" s="40"/>
      <c r="DH3" s="41"/>
      <c r="DI3" s="39" t="s">
        <v>48</v>
      </c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1"/>
      <c r="DU3" s="39" t="s">
        <v>38</v>
      </c>
      <c r="DV3" s="40"/>
      <c r="DW3" s="40"/>
      <c r="DX3" s="40"/>
      <c r="DY3" s="40"/>
      <c r="DZ3" s="40"/>
      <c r="EA3" s="40"/>
      <c r="EB3" s="40"/>
      <c r="EC3" s="40"/>
      <c r="ED3" s="41"/>
      <c r="EE3" s="48" t="s">
        <v>35</v>
      </c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50"/>
      <c r="FA3" s="39" t="s">
        <v>37</v>
      </c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17" customFormat="1" ht="60.7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  <c r="AH4" s="42"/>
      <c r="AI4" s="43"/>
      <c r="AJ4" s="43"/>
      <c r="AK4" s="43"/>
      <c r="AL4" s="43"/>
      <c r="AM4" s="43"/>
      <c r="AN4" s="43"/>
      <c r="AO4" s="43"/>
      <c r="AP4" s="43"/>
      <c r="AQ4" s="44"/>
      <c r="AR4" s="42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4"/>
      <c r="BG4" s="42"/>
      <c r="BH4" s="43"/>
      <c r="BI4" s="43"/>
      <c r="BJ4" s="43"/>
      <c r="BK4" s="43"/>
      <c r="BL4" s="43"/>
      <c r="BM4" s="43"/>
      <c r="BN4" s="43"/>
      <c r="BO4" s="43"/>
      <c r="BP4" s="44"/>
      <c r="BQ4" s="42"/>
      <c r="BR4" s="43"/>
      <c r="BS4" s="43"/>
      <c r="BT4" s="43"/>
      <c r="BU4" s="43"/>
      <c r="BV4" s="43"/>
      <c r="BW4" s="43"/>
      <c r="BX4" s="43"/>
      <c r="BY4" s="43"/>
      <c r="BZ4" s="43"/>
      <c r="CA4" s="44"/>
      <c r="CB4" s="42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4"/>
      <c r="CN4" s="42"/>
      <c r="CO4" s="43"/>
      <c r="CP4" s="43"/>
      <c r="CQ4" s="43"/>
      <c r="CR4" s="43"/>
      <c r="CS4" s="43"/>
      <c r="CT4" s="43"/>
      <c r="CU4" s="43"/>
      <c r="CV4" s="43"/>
      <c r="CW4" s="43"/>
      <c r="CX4" s="44"/>
      <c r="CY4" s="42"/>
      <c r="CZ4" s="43"/>
      <c r="DA4" s="43"/>
      <c r="DB4" s="43"/>
      <c r="DC4" s="43"/>
      <c r="DD4" s="43"/>
      <c r="DE4" s="43"/>
      <c r="DF4" s="43"/>
      <c r="DG4" s="43"/>
      <c r="DH4" s="44"/>
      <c r="DI4" s="42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4"/>
      <c r="DU4" s="42"/>
      <c r="DV4" s="43"/>
      <c r="DW4" s="43"/>
      <c r="DX4" s="43"/>
      <c r="DY4" s="43"/>
      <c r="DZ4" s="43"/>
      <c r="EA4" s="43"/>
      <c r="EB4" s="43"/>
      <c r="EC4" s="43"/>
      <c r="ED4" s="44"/>
      <c r="EE4" s="50" t="s">
        <v>36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0" t="s">
        <v>43</v>
      </c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42"/>
      <c r="FB4" s="43"/>
      <c r="FC4" s="43"/>
      <c r="FD4" s="43"/>
      <c r="FE4" s="43"/>
      <c r="FF4" s="43"/>
      <c r="FG4" s="43"/>
      <c r="FH4" s="43"/>
      <c r="FI4" s="43"/>
      <c r="FJ4" s="43"/>
      <c r="FK4" s="44"/>
    </row>
    <row r="5" spans="1:167" s="18" customFormat="1" ht="12.75" customHeight="1">
      <c r="A5" s="53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47">
        <v>2</v>
      </c>
      <c r="AI5" s="47"/>
      <c r="AJ5" s="47"/>
      <c r="AK5" s="47"/>
      <c r="AL5" s="47"/>
      <c r="AM5" s="47"/>
      <c r="AN5" s="47"/>
      <c r="AO5" s="47"/>
      <c r="AP5" s="47"/>
      <c r="AQ5" s="47"/>
      <c r="AR5" s="47">
        <v>3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>
        <v>4</v>
      </c>
      <c r="BH5" s="47"/>
      <c r="BI5" s="47"/>
      <c r="BJ5" s="47"/>
      <c r="BK5" s="47"/>
      <c r="BL5" s="47"/>
      <c r="BM5" s="47"/>
      <c r="BN5" s="47"/>
      <c r="BO5" s="47"/>
      <c r="BP5" s="47"/>
      <c r="BQ5" s="47">
        <v>5</v>
      </c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>
        <v>6</v>
      </c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>
        <v>7</v>
      </c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>
        <v>8</v>
      </c>
      <c r="CZ5" s="47"/>
      <c r="DA5" s="47"/>
      <c r="DB5" s="47"/>
      <c r="DC5" s="47"/>
      <c r="DD5" s="47"/>
      <c r="DE5" s="47"/>
      <c r="DF5" s="47"/>
      <c r="DG5" s="47"/>
      <c r="DH5" s="47"/>
      <c r="DI5" s="47">
        <v>9</v>
      </c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>
        <v>10</v>
      </c>
      <c r="DV5" s="47"/>
      <c r="DW5" s="47"/>
      <c r="DX5" s="47"/>
      <c r="DY5" s="47"/>
      <c r="DZ5" s="47"/>
      <c r="EA5" s="47"/>
      <c r="EB5" s="47"/>
      <c r="EC5" s="47"/>
      <c r="ED5" s="47"/>
      <c r="EE5" s="47">
        <v>11</v>
      </c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>
        <v>12</v>
      </c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>
        <v>13</v>
      </c>
      <c r="FB5" s="47"/>
      <c r="FC5" s="47"/>
      <c r="FD5" s="47"/>
      <c r="FE5" s="47"/>
      <c r="FF5" s="47"/>
      <c r="FG5" s="47"/>
      <c r="FH5" s="47"/>
      <c r="FI5" s="47"/>
      <c r="FJ5" s="47"/>
      <c r="FK5" s="47"/>
    </row>
    <row r="6" spans="1:167" s="2" customFormat="1" ht="27" customHeight="1">
      <c r="A6" s="3"/>
      <c r="B6" s="51" t="s">
        <v>24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</row>
    <row r="7" spans="1:167" s="2" customFormat="1" ht="39" customHeight="1">
      <c r="A7" s="3"/>
      <c r="B7" s="51" t="s">
        <v>25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</row>
    <row r="8" spans="1:167" s="2" customFormat="1" ht="39" customHeight="1">
      <c r="A8" s="3"/>
      <c r="B8" s="51" t="s">
        <v>26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</row>
    <row r="9" spans="1:167" s="2" customFormat="1" ht="27" customHeight="1">
      <c r="A9" s="3"/>
      <c r="B9" s="51" t="s">
        <v>27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5">
        <f>1108*91.14%*1.02</f>
        <v>1030.027824</v>
      </c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>
        <f>327*91.14%*1.02</f>
        <v>303.988356</v>
      </c>
      <c r="BH9" s="45"/>
      <c r="BI9" s="45"/>
      <c r="BJ9" s="45"/>
      <c r="BK9" s="45"/>
      <c r="BL9" s="45"/>
      <c r="BM9" s="45"/>
      <c r="BN9" s="45"/>
      <c r="BO9" s="45"/>
      <c r="BP9" s="45"/>
      <c r="BQ9" s="45">
        <f>101*91.14%*1.02</f>
        <v>93.89242800000001</v>
      </c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>
        <v>1250</v>
      </c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>
        <f>3853*91.14%*1.02-1250</f>
        <v>2331.856684</v>
      </c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>
        <f>257*91.14%*1.02</f>
        <v>238.91439599999998</v>
      </c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>
        <f>AH9+BG9+BQ9+CB9+CN9+CY9+DI9+DU9+EE9+EP9</f>
        <v>5248.679688</v>
      </c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7" s="2" customFormat="1" ht="14.25" customHeight="1">
      <c r="A10" s="3"/>
      <c r="B10" s="51" t="s">
        <v>28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2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</row>
    <row r="11" spans="1:167" s="2" customFormat="1" ht="14.25" customHeight="1">
      <c r="A11" s="3"/>
      <c r="B11" s="51" t="s">
        <v>29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</row>
    <row r="12" spans="1:167" s="2" customFormat="1" ht="14.25" customHeight="1">
      <c r="A12" s="3"/>
      <c r="B12" s="51" t="s">
        <v>30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</row>
    <row r="13" spans="1:167" s="2" customFormat="1" ht="14.25" customHeight="1">
      <c r="A13" s="3"/>
      <c r="B13" s="51" t="s">
        <v>31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  <c r="AH13" s="45">
        <f>2441*97.42%*1.05</f>
        <v>2496.9233100000006</v>
      </c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>
        <f>632*97.42%*1.05</f>
        <v>646.4791200000001</v>
      </c>
      <c r="BH13" s="45"/>
      <c r="BI13" s="45"/>
      <c r="BJ13" s="45"/>
      <c r="BK13" s="45"/>
      <c r="BL13" s="45"/>
      <c r="BM13" s="45"/>
      <c r="BN13" s="45"/>
      <c r="BO13" s="45"/>
      <c r="BP13" s="45"/>
      <c r="BQ13" s="45">
        <f>2959*97.42%*1.05</f>
        <v>3026.7906900000007</v>
      </c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>
        <f>137*97.42%*1.05</f>
        <v>140.13867000000002</v>
      </c>
      <c r="CZ13" s="45"/>
      <c r="DA13" s="45"/>
      <c r="DB13" s="45"/>
      <c r="DC13" s="45"/>
      <c r="DD13" s="45"/>
      <c r="DE13" s="45"/>
      <c r="DF13" s="45"/>
      <c r="DG13" s="45"/>
      <c r="DH13" s="45"/>
      <c r="DI13" s="45">
        <f>148*97.42%*1.05</f>
        <v>151.39068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>
        <f>246*97.42%+8*1.05</f>
        <v>248.05320000000003</v>
      </c>
      <c r="DV13" s="45"/>
      <c r="DW13" s="45"/>
      <c r="DX13" s="45"/>
      <c r="DY13" s="45"/>
      <c r="DZ13" s="45"/>
      <c r="EA13" s="45"/>
      <c r="EB13" s="45"/>
      <c r="EC13" s="45"/>
      <c r="ED13" s="45"/>
      <c r="EE13" s="45">
        <v>12</v>
      </c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>
        <f>AH13+BG13+BQ13+CY13+DI13+DU13+EE13</f>
        <v>6721.775670000003</v>
      </c>
      <c r="FB13" s="45"/>
      <c r="FC13" s="45"/>
      <c r="FD13" s="45"/>
      <c r="FE13" s="45"/>
      <c r="FF13" s="45"/>
      <c r="FG13" s="45"/>
      <c r="FH13" s="45"/>
      <c r="FI13" s="45"/>
      <c r="FJ13" s="45"/>
      <c r="FK13" s="45"/>
    </row>
    <row r="14" spans="1:167" s="2" customFormat="1" ht="156.75" customHeight="1">
      <c r="A14" s="3"/>
      <c r="B14" s="51" t="s">
        <v>45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45">
        <f>AH9+AH13</f>
        <v>3526.951134000001</v>
      </c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>
        <f>BG9+BG13</f>
        <v>950.467476</v>
      </c>
      <c r="BH14" s="45"/>
      <c r="BI14" s="45"/>
      <c r="BJ14" s="45"/>
      <c r="BK14" s="45"/>
      <c r="BL14" s="45"/>
      <c r="BM14" s="45"/>
      <c r="BN14" s="45"/>
      <c r="BO14" s="45"/>
      <c r="BP14" s="45"/>
      <c r="BQ14" s="45">
        <f>BQ9+BQ13</f>
        <v>3120.683118000001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>
        <f>CN9+CN13</f>
        <v>1250</v>
      </c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>
        <f>CY13</f>
        <v>140.13867000000002</v>
      </c>
      <c r="CZ14" s="45"/>
      <c r="DA14" s="45"/>
      <c r="DB14" s="45"/>
      <c r="DC14" s="45"/>
      <c r="DD14" s="45"/>
      <c r="DE14" s="45"/>
      <c r="DF14" s="45"/>
      <c r="DG14" s="45"/>
      <c r="DH14" s="45"/>
      <c r="DI14" s="45">
        <f>DI9+DI13</f>
        <v>2483.247364</v>
      </c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>
        <f>DU9+DU13</f>
        <v>486.967596</v>
      </c>
      <c r="DV14" s="45"/>
      <c r="DW14" s="45"/>
      <c r="DX14" s="45"/>
      <c r="DY14" s="45"/>
      <c r="DZ14" s="45"/>
      <c r="EA14" s="45"/>
      <c r="EB14" s="45"/>
      <c r="EC14" s="45"/>
      <c r="ED14" s="45"/>
      <c r="EE14" s="45">
        <f>EE9+EE13</f>
        <v>12</v>
      </c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>
        <f>EP9+EP13</f>
        <v>0</v>
      </c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>
        <f>FA9+FA13</f>
        <v>11970.455358000003</v>
      </c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30" s="21" customFormat="1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7" s="19" customFormat="1" ht="22.5" customHeight="1">
      <c r="A16" s="23" t="s">
        <v>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</row>
    <row r="17" s="19" customFormat="1" ht="3" customHeight="1"/>
  </sheetData>
  <sheetProtection/>
  <mergeCells count="146">
    <mergeCell ref="DI14:DT14"/>
    <mergeCell ref="DU14:ED14"/>
    <mergeCell ref="EE14:EO14"/>
    <mergeCell ref="EP14:EZ14"/>
    <mergeCell ref="FA14:FK14"/>
    <mergeCell ref="A16:FK16"/>
    <mergeCell ref="EP13:EZ13"/>
    <mergeCell ref="FA13:FK13"/>
    <mergeCell ref="B14:AG14"/>
    <mergeCell ref="AH14:AQ14"/>
    <mergeCell ref="AR14:BF14"/>
    <mergeCell ref="BG14:BP14"/>
    <mergeCell ref="BQ14:CA14"/>
    <mergeCell ref="CB14:CM14"/>
    <mergeCell ref="CN14:CX14"/>
    <mergeCell ref="CY14:DH14"/>
    <mergeCell ref="CB13:CM13"/>
    <mergeCell ref="CN13:CX13"/>
    <mergeCell ref="CY13:DH13"/>
    <mergeCell ref="DI13:DT13"/>
    <mergeCell ref="DU13:ED13"/>
    <mergeCell ref="EE13:EO13"/>
    <mergeCell ref="DI12:DT12"/>
    <mergeCell ref="DU12:ED12"/>
    <mergeCell ref="EE12:EO12"/>
    <mergeCell ref="EP12:EZ12"/>
    <mergeCell ref="FA12:FK12"/>
    <mergeCell ref="B13:AG13"/>
    <mergeCell ref="AH13:AQ13"/>
    <mergeCell ref="AR13:BF13"/>
    <mergeCell ref="BG13:BP13"/>
    <mergeCell ref="BQ13:CA13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CB11:CM11"/>
    <mergeCell ref="CN11:CX11"/>
    <mergeCell ref="CY11:DH11"/>
    <mergeCell ref="DI11:DT11"/>
    <mergeCell ref="DU11:ED11"/>
    <mergeCell ref="EE11:EO11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CB9:CM9"/>
    <mergeCell ref="CN9:CX9"/>
    <mergeCell ref="CY9:DH9"/>
    <mergeCell ref="DI9:DT9"/>
    <mergeCell ref="DU9:ED9"/>
    <mergeCell ref="EE9:EO9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CB7:CM7"/>
    <mergeCell ref="CN7:CX7"/>
    <mergeCell ref="CY7:DH7"/>
    <mergeCell ref="DI7:DT7"/>
    <mergeCell ref="DU7:ED7"/>
    <mergeCell ref="EE7:EO7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CB5:CM5"/>
    <mergeCell ref="CN5:CX5"/>
    <mergeCell ref="CY5:DH5"/>
    <mergeCell ref="DI5:DT5"/>
    <mergeCell ref="DU5:ED5"/>
    <mergeCell ref="EE5:EO5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3">
      <selection activeCell="BT26" sqref="BT26:CH26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1:108" s="8" customFormat="1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</row>
    <row r="5" spans="1:108" s="8" customFormat="1" ht="15.7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8" customFormat="1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4" t="s">
        <v>49</v>
      </c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51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6" t="s">
        <v>6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7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3" t="s">
        <v>9</v>
      </c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 t="s">
        <v>10</v>
      </c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0" t="s">
        <v>11</v>
      </c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ht="122.25" customHeight="1">
      <c r="A17" s="13"/>
      <c r="B17" s="25" t="s">
        <v>12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4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</row>
    <row r="18" spans="1:108" s="4" customFormat="1" ht="33" customHeight="1">
      <c r="A18" s="15"/>
      <c r="B18" s="25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</row>
    <row r="19" spans="1:108" s="4" customFormat="1" ht="33" customHeight="1">
      <c r="A19" s="15"/>
      <c r="B19" s="25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</row>
    <row r="20" spans="1:108" s="4" customFormat="1" ht="33" customHeight="1">
      <c r="A20" s="15"/>
      <c r="B20" s="25" t="s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</row>
    <row r="21" spans="1:108" s="4" customFormat="1" ht="18" customHeight="1">
      <c r="A21" s="15"/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>
        <f>BE21-BT21</f>
        <v>0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18" customHeight="1">
      <c r="A22" s="15"/>
      <c r="B22" s="25" t="s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5" t="s">
        <v>18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5" t="s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4" customFormat="1" ht="18" customHeight="1">
      <c r="A25" s="15"/>
      <c r="B25" s="25" t="s">
        <v>20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16"/>
      <c r="BE25" s="22">
        <v>25448</v>
      </c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>
        <v>131468</v>
      </c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>
        <f>BE25-BT25</f>
        <v>-106020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4" customFormat="1" ht="18" customHeight="1">
      <c r="A26" s="15"/>
      <c r="B26" s="25" t="s">
        <v>21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16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4" customFormat="1" ht="18" customHeight="1">
      <c r="A27" s="15"/>
      <c r="B27" s="38" t="s">
        <v>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16"/>
      <c r="BE27" s="22">
        <f>BE21+BE25</f>
        <v>25448</v>
      </c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>
        <f>BT21+BT25</f>
        <v>131468</v>
      </c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>
        <f>CI21+CI25</f>
        <v>-106020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ht="3.75" customHeight="1"/>
    <row r="29" spans="1:108" s="19" customFormat="1" ht="46.5" customHeight="1">
      <c r="A29" s="23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3">
      <selection activeCell="BT25" sqref="BT25:CH25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1:108" s="8" customFormat="1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</row>
    <row r="5" spans="1:108" s="8" customFormat="1" ht="15.7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8" customFormat="1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4" t="s">
        <v>52</v>
      </c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51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6" t="s">
        <v>6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7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3" t="s">
        <v>9</v>
      </c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 t="s">
        <v>10</v>
      </c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0" t="s">
        <v>11</v>
      </c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ht="122.25" customHeight="1">
      <c r="A17" s="13"/>
      <c r="B17" s="25" t="s">
        <v>12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4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</row>
    <row r="18" spans="1:108" s="4" customFormat="1" ht="33" customHeight="1">
      <c r="A18" s="15"/>
      <c r="B18" s="25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</row>
    <row r="19" spans="1:108" s="4" customFormat="1" ht="33" customHeight="1">
      <c r="A19" s="15"/>
      <c r="B19" s="25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</row>
    <row r="20" spans="1:108" s="4" customFormat="1" ht="33" customHeight="1">
      <c r="A20" s="15"/>
      <c r="B20" s="25" t="s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</row>
    <row r="21" spans="1:108" s="4" customFormat="1" ht="18" customHeight="1">
      <c r="A21" s="15"/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>
        <f>BE21-BT21</f>
        <v>0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18" customHeight="1">
      <c r="A22" s="15"/>
      <c r="B22" s="25" t="s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5" t="s">
        <v>18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5" t="s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4" customFormat="1" ht="18" customHeight="1">
      <c r="A25" s="15"/>
      <c r="B25" s="25" t="s">
        <v>20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16"/>
      <c r="BE25" s="22">
        <f>25448*1.1</f>
        <v>27992.800000000003</v>
      </c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>
        <f>131468*1.02</f>
        <v>134097.36000000002</v>
      </c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>
        <f>BE25-BT25</f>
        <v>-106104.56000000001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4" customFormat="1" ht="18" customHeight="1">
      <c r="A26" s="15"/>
      <c r="B26" s="25" t="s">
        <v>21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16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4" customFormat="1" ht="18" customHeight="1">
      <c r="A27" s="15"/>
      <c r="B27" s="38" t="s">
        <v>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16"/>
      <c r="BE27" s="22">
        <f>BE21+BE25</f>
        <v>27992.800000000003</v>
      </c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>
        <f>BT21+BT25</f>
        <v>134097.36000000002</v>
      </c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>
        <f>CI21+CI25</f>
        <v>-106104.56000000001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ht="3.75" customHeight="1"/>
    <row r="29" spans="1:108" s="19" customFormat="1" ht="46.5" customHeight="1">
      <c r="A29" s="23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6">
      <selection activeCell="BT25" sqref="BT25:CH25"/>
    </sheetView>
  </sheetViews>
  <sheetFormatPr defaultColWidth="0.875" defaultRowHeight="12.75"/>
  <cols>
    <col min="1" max="16384" width="0.875" style="5" customWidth="1"/>
  </cols>
  <sheetData>
    <row r="1" ht="15">
      <c r="DD1" s="6" t="s">
        <v>1</v>
      </c>
    </row>
    <row r="3" spans="1:108" s="8" customFormat="1" ht="15.75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1:108" s="8" customFormat="1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</row>
    <row r="5" spans="1:108" s="8" customFormat="1" ht="15.75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8" customFormat="1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4" t="s">
        <v>53</v>
      </c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51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6" t="s">
        <v>6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5.75"/>
    <row r="13" spans="1:108" s="9" customFormat="1" ht="15.75">
      <c r="A13" s="37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</row>
    <row r="16" spans="1:108" s="4" customFormat="1" ht="33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33" t="s">
        <v>9</v>
      </c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 t="s">
        <v>10</v>
      </c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0" t="s">
        <v>11</v>
      </c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2"/>
    </row>
    <row r="17" spans="1:108" ht="122.25" customHeight="1">
      <c r="A17" s="13"/>
      <c r="B17" s="25" t="s">
        <v>12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14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</row>
    <row r="18" spans="1:108" s="4" customFormat="1" ht="33" customHeight="1">
      <c r="A18" s="15"/>
      <c r="B18" s="25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16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</row>
    <row r="19" spans="1:108" s="4" customFormat="1" ht="33" customHeight="1">
      <c r="A19" s="15"/>
      <c r="B19" s="25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16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</row>
    <row r="20" spans="1:108" s="4" customFormat="1" ht="33" customHeight="1">
      <c r="A20" s="15"/>
      <c r="B20" s="25" t="s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16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</row>
    <row r="21" spans="1:108" s="4" customFormat="1" ht="18" customHeight="1">
      <c r="A21" s="15"/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16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>
        <f>BE21-BT21</f>
        <v>0</v>
      </c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</row>
    <row r="22" spans="1:108" s="4" customFormat="1" ht="18" customHeight="1">
      <c r="A22" s="15"/>
      <c r="B22" s="25" t="s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16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</row>
    <row r="23" spans="1:108" s="4" customFormat="1" ht="18" customHeight="1">
      <c r="A23" s="15"/>
      <c r="B23" s="25" t="s">
        <v>18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16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</row>
    <row r="24" spans="1:108" s="4" customFormat="1" ht="18" customHeight="1">
      <c r="A24" s="15"/>
      <c r="B24" s="25" t="s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</row>
    <row r="25" spans="1:108" s="4" customFormat="1" ht="18" customHeight="1">
      <c r="A25" s="15"/>
      <c r="B25" s="25" t="s">
        <v>20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16"/>
      <c r="BE25" s="22">
        <f>25448*1.2</f>
        <v>30537.6</v>
      </c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>
        <f>131468*1.03</f>
        <v>135412.04</v>
      </c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>
        <f>BE25-BT25</f>
        <v>-104874.44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</row>
    <row r="26" spans="1:108" s="4" customFormat="1" ht="18" customHeight="1">
      <c r="A26" s="15"/>
      <c r="B26" s="25" t="s">
        <v>21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16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</row>
    <row r="27" spans="1:108" s="4" customFormat="1" ht="18" customHeight="1">
      <c r="A27" s="15"/>
      <c r="B27" s="38" t="s">
        <v>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16"/>
      <c r="BE27" s="22">
        <f>BE21+BE25</f>
        <v>30537.6</v>
      </c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>
        <f>BT21+BT25</f>
        <v>135412.04</v>
      </c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>
        <f>CI21+CI25</f>
        <v>-104874.44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</row>
    <row r="28" ht="3.75" customHeight="1"/>
    <row r="29" spans="1:108" s="19" customFormat="1" ht="46.5" customHeight="1">
      <c r="A29" s="23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ht="3" customHeight="1"/>
  </sheetData>
  <sheetProtection/>
  <mergeCells count="57">
    <mergeCell ref="B27:BC27"/>
    <mergeCell ref="BE27:BS27"/>
    <mergeCell ref="BT27:CH27"/>
    <mergeCell ref="CI27:DD27"/>
    <mergeCell ref="A29:DD29"/>
    <mergeCell ref="B25:BC25"/>
    <mergeCell ref="BE25:BS25"/>
    <mergeCell ref="BT25:CH25"/>
    <mergeCell ref="CI25:DD25"/>
    <mergeCell ref="B26:BC26"/>
    <mergeCell ref="BE26:BS26"/>
    <mergeCell ref="BT26:CH26"/>
    <mergeCell ref="CI26:DD26"/>
    <mergeCell ref="B23:BC23"/>
    <mergeCell ref="BE23:BS23"/>
    <mergeCell ref="BT23:CH23"/>
    <mergeCell ref="CI23:DD23"/>
    <mergeCell ref="B24:BC24"/>
    <mergeCell ref="BE24:BS24"/>
    <mergeCell ref="BT24:CH24"/>
    <mergeCell ref="CI24:DD24"/>
    <mergeCell ref="B21:BC21"/>
    <mergeCell ref="BE21:BS21"/>
    <mergeCell ref="BT21:CH21"/>
    <mergeCell ref="CI21:DD21"/>
    <mergeCell ref="B22:BC22"/>
    <mergeCell ref="BE22:BS22"/>
    <mergeCell ref="BT22:CH22"/>
    <mergeCell ref="CI22:DD22"/>
    <mergeCell ref="B19:BC19"/>
    <mergeCell ref="BE19:BS19"/>
    <mergeCell ref="BT19:CH19"/>
    <mergeCell ref="CI19:DD19"/>
    <mergeCell ref="B20:BC20"/>
    <mergeCell ref="BE20:BS20"/>
    <mergeCell ref="BT20:CH20"/>
    <mergeCell ref="CI20:DD20"/>
    <mergeCell ref="B17:BC17"/>
    <mergeCell ref="BE17:BS17"/>
    <mergeCell ref="BT17:CH17"/>
    <mergeCell ref="CI17:DD17"/>
    <mergeCell ref="B18:BC18"/>
    <mergeCell ref="BE18:BS18"/>
    <mergeCell ref="BT18:CH18"/>
    <mergeCell ref="CI18:DD18"/>
    <mergeCell ref="U10:CJ10"/>
    <mergeCell ref="A13:DD13"/>
    <mergeCell ref="A16:BD16"/>
    <mergeCell ref="BE16:BS16"/>
    <mergeCell ref="BT16:CH16"/>
    <mergeCell ref="CI16:DD16"/>
    <mergeCell ref="A3:DD3"/>
    <mergeCell ref="A4:DD4"/>
    <mergeCell ref="A5:DD5"/>
    <mergeCell ref="A6:DD6"/>
    <mergeCell ref="AW7:BG7"/>
    <mergeCell ref="U9:C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Главный Бухгалтер</cp:lastModifiedBy>
  <cp:lastPrinted>2011-05-27T09:29:48Z</cp:lastPrinted>
  <dcterms:created xsi:type="dcterms:W3CDTF">2011-01-11T10:25:48Z</dcterms:created>
  <dcterms:modified xsi:type="dcterms:W3CDTF">2017-04-18T11:23:05Z</dcterms:modified>
  <cp:category/>
  <cp:version/>
  <cp:contentType/>
  <cp:contentStatus/>
</cp:coreProperties>
</file>